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GKH!\Натали\Теплоснабжение\2026\"/>
    </mc:Choice>
  </mc:AlternateContent>
  <bookViews>
    <workbookView xWindow="0" yWindow="0" windowWidth="20730" windowHeight="9030" tabRatio="617" firstSheet="10" activeTab="10"/>
  </bookViews>
  <sheets>
    <sheet name="Программа" sheetId="68" state="hidden" r:id="rId1"/>
    <sheet name="Материалы ФОРМА" sheetId="77" state="hidden" r:id="rId2"/>
    <sheet name="Транспорт" sheetId="67" state="hidden" r:id="rId3"/>
    <sheet name="Лист1" sheetId="69" state="hidden" r:id="rId4"/>
    <sheet name="Содержание" sheetId="80" state="hidden" r:id="rId5"/>
    <sheet name="ЗЕМЛЕРОЙНАЯ" sheetId="83" state="hidden" r:id="rId6"/>
    <sheet name="Ж.Б. Центролит" sheetId="84" state="hidden" r:id="rId7"/>
    <sheet name="ФРЕЗА" sheetId="81" state="hidden" r:id="rId8"/>
    <sheet name="план" sheetId="1" state="hidden" r:id="rId9"/>
    <sheet name="ЦЕНТРОЛИТ" sheetId="86" state="hidden" r:id="rId10"/>
    <sheet name="ГОДОВОЙ ГРАФИК" sheetId="71" r:id="rId11"/>
    <sheet name="ГОД ПЛАН" sheetId="87" state="hidden" r:id="rId12"/>
    <sheet name="Лист3" sheetId="85" state="hidden" r:id="rId13"/>
    <sheet name="СМР В соп. ценах" sheetId="72" state="hidden" r:id="rId14"/>
    <sheet name="СМР В соп. ценах без СОДЕРЖ" sheetId="76" state="hidden" r:id="rId15"/>
  </sheets>
  <externalReferences>
    <externalReference r:id="rId16"/>
    <externalReference r:id="rId17"/>
    <externalReference r:id="rId18"/>
  </externalReferences>
  <definedNames>
    <definedName name="_xlnm.Print_Titles" localSheetId="8">план!$3:$5</definedName>
    <definedName name="_xlnm.Print_Titles" localSheetId="2">Транспорт!$3:$5</definedName>
    <definedName name="_xlnm.Print_Area" localSheetId="10">'ГОДОВОЙ ГРАФИК'!$A$1:$C$5</definedName>
    <definedName name="_xlnm.Print_Area" localSheetId="12">Лист3!$A$1:$W$30</definedName>
    <definedName name="_xlnm.Print_Area" localSheetId="8">план!$B$1:$KF$94</definedName>
    <definedName name="_xlnm.Print_Area" localSheetId="0">Программа!$A$1:$D$85</definedName>
    <definedName name="_xlnm.Print_Area" localSheetId="4">Содержание!$A$1:$I$46</definedName>
    <definedName name="_xlnm.Print_Area" localSheetId="2">Транспорт!$A$1:$O$131</definedName>
    <definedName name="_xlnm.Print_Area" localSheetId="9">ЦЕНТРОЛИТ!$A$1:$O$33</definedName>
  </definedNames>
  <calcPr calcId="162913"/>
</workbook>
</file>

<file path=xl/calcChain.xml><?xml version="1.0" encoding="utf-8"?>
<calcChain xmlns="http://schemas.openxmlformats.org/spreadsheetml/2006/main">
  <c r="C31" i="1" l="1"/>
  <c r="C13" i="1" l="1"/>
  <c r="C9" i="1"/>
  <c r="C8" i="1"/>
  <c r="C11" i="1" l="1"/>
  <c r="B87" i="67" l="1"/>
  <c r="K126" i="67"/>
  <c r="J126" i="67"/>
  <c r="M126" i="67"/>
  <c r="K125" i="67"/>
  <c r="J125" i="67"/>
  <c r="M125" i="67"/>
  <c r="J124" i="67"/>
  <c r="M124" i="67"/>
  <c r="K124" i="67"/>
  <c r="M123" i="67"/>
  <c r="L123" i="67"/>
  <c r="K123" i="67"/>
  <c r="J123" i="67"/>
  <c r="M122" i="67"/>
  <c r="L122" i="67"/>
  <c r="J122" i="67"/>
  <c r="M121" i="67"/>
  <c r="L121" i="67"/>
  <c r="J121" i="67"/>
  <c r="K120" i="67"/>
  <c r="J120" i="67"/>
  <c r="M119" i="67"/>
  <c r="K119" i="67"/>
  <c r="J119" i="67"/>
  <c r="M118" i="67"/>
  <c r="L118" i="67"/>
  <c r="K118" i="67"/>
  <c r="M117" i="67"/>
  <c r="L117" i="67"/>
  <c r="K117" i="67"/>
  <c r="M116" i="67"/>
  <c r="L116" i="67"/>
  <c r="K116" i="67"/>
  <c r="J116" i="67"/>
  <c r="M115" i="67"/>
  <c r="L115" i="67"/>
  <c r="K115" i="67"/>
  <c r="M114" i="67"/>
  <c r="L114" i="67"/>
  <c r="K114" i="67"/>
  <c r="J114" i="67"/>
  <c r="M113" i="67"/>
  <c r="L113" i="67"/>
  <c r="K113" i="67"/>
  <c r="M112" i="67"/>
  <c r="L112" i="67"/>
  <c r="N112" i="67" s="1"/>
  <c r="K112" i="67"/>
  <c r="J112" i="67"/>
  <c r="M111" i="67"/>
  <c r="L111" i="67"/>
  <c r="K111" i="67"/>
  <c r="J111" i="67"/>
  <c r="M110" i="67"/>
  <c r="L110" i="67"/>
  <c r="K110" i="67"/>
  <c r="J110" i="67"/>
  <c r="M109" i="67"/>
  <c r="L109" i="67"/>
  <c r="K109" i="67"/>
  <c r="J109" i="67"/>
  <c r="K108" i="67"/>
  <c r="J108" i="67"/>
  <c r="K107" i="67"/>
  <c r="J107" i="67"/>
  <c r="M106" i="67"/>
  <c r="L106" i="67"/>
  <c r="N106" i="67" s="1"/>
  <c r="K106" i="67"/>
  <c r="J106" i="67"/>
  <c r="M105" i="67"/>
  <c r="L105" i="67"/>
  <c r="N105" i="67" s="1"/>
  <c r="K105" i="67"/>
  <c r="J105" i="67"/>
  <c r="M104" i="67"/>
  <c r="L104" i="67"/>
  <c r="N104" i="67" s="1"/>
  <c r="K104" i="67"/>
  <c r="J104" i="67"/>
  <c r="M103" i="67"/>
  <c r="L103" i="67"/>
  <c r="N103" i="67" s="1"/>
  <c r="K103" i="67"/>
  <c r="J103" i="67"/>
  <c r="J102" i="67"/>
  <c r="L101" i="67"/>
  <c r="K101" i="67"/>
  <c r="J101" i="67"/>
  <c r="K100" i="67"/>
  <c r="J100" i="67"/>
  <c r="J99" i="67"/>
  <c r="K83" i="67"/>
  <c r="J83" i="67"/>
  <c r="M83" i="67"/>
  <c r="K82" i="67"/>
  <c r="J82" i="67"/>
  <c r="M82" i="67"/>
  <c r="J81" i="67"/>
  <c r="M81" i="67"/>
  <c r="K81" i="67"/>
  <c r="M80" i="67"/>
  <c r="L80" i="67"/>
  <c r="K80" i="67"/>
  <c r="J80" i="67"/>
  <c r="M79" i="67"/>
  <c r="L79" i="67"/>
  <c r="J79" i="67"/>
  <c r="K79" i="67"/>
  <c r="M78" i="67"/>
  <c r="L78" i="67"/>
  <c r="J78" i="67"/>
  <c r="K78" i="67"/>
  <c r="K77" i="67"/>
  <c r="J77" i="67"/>
  <c r="L77" i="67"/>
  <c r="M76" i="67"/>
  <c r="K76" i="67"/>
  <c r="J76" i="67"/>
  <c r="L76" i="67"/>
  <c r="M75" i="67"/>
  <c r="L75" i="67"/>
  <c r="N75" i="67" s="1"/>
  <c r="K75" i="67"/>
  <c r="J75" i="67"/>
  <c r="O75" i="67" s="1"/>
  <c r="M74" i="67"/>
  <c r="L74" i="67"/>
  <c r="K74" i="67"/>
  <c r="J74" i="67"/>
  <c r="M73" i="67"/>
  <c r="L73" i="67"/>
  <c r="K73" i="67"/>
  <c r="J73" i="67"/>
  <c r="M72" i="67"/>
  <c r="L72" i="67"/>
  <c r="K72" i="67"/>
  <c r="M71" i="67"/>
  <c r="L71" i="67"/>
  <c r="K71" i="67"/>
  <c r="J71" i="67"/>
  <c r="M70" i="67"/>
  <c r="L70" i="67"/>
  <c r="K70" i="67"/>
  <c r="M69" i="67"/>
  <c r="L69" i="67"/>
  <c r="N69" i="67" s="1"/>
  <c r="K69" i="67"/>
  <c r="J69" i="67"/>
  <c r="M68" i="67"/>
  <c r="L68" i="67"/>
  <c r="N68" i="67" s="1"/>
  <c r="K68" i="67"/>
  <c r="J68" i="67"/>
  <c r="M67" i="67"/>
  <c r="L67" i="67"/>
  <c r="N67" i="67" s="1"/>
  <c r="K67" i="67"/>
  <c r="J67" i="67"/>
  <c r="M66" i="67"/>
  <c r="L66" i="67"/>
  <c r="N66" i="67" s="1"/>
  <c r="K66" i="67"/>
  <c r="J66" i="67"/>
  <c r="K65" i="67"/>
  <c r="J65" i="67"/>
  <c r="K64" i="67"/>
  <c r="J64" i="67"/>
  <c r="M63" i="67"/>
  <c r="L63" i="67"/>
  <c r="N63" i="67" s="1"/>
  <c r="K63" i="67"/>
  <c r="J63" i="67"/>
  <c r="M62" i="67"/>
  <c r="L62" i="67"/>
  <c r="N62" i="67" s="1"/>
  <c r="K62" i="67"/>
  <c r="J62" i="67"/>
  <c r="M61" i="67"/>
  <c r="L61" i="67"/>
  <c r="N61" i="67" s="1"/>
  <c r="K61" i="67"/>
  <c r="J61" i="67"/>
  <c r="M60" i="67"/>
  <c r="L60" i="67"/>
  <c r="N60" i="67" s="1"/>
  <c r="K60" i="67"/>
  <c r="J60" i="67"/>
  <c r="J59" i="67"/>
  <c r="L58" i="67"/>
  <c r="K58" i="67"/>
  <c r="J58" i="67"/>
  <c r="K57" i="67"/>
  <c r="J57" i="67"/>
  <c r="L57" i="67"/>
  <c r="J56" i="67"/>
  <c r="K56" i="67"/>
  <c r="M36" i="67"/>
  <c r="L36" i="67"/>
  <c r="K36" i="67"/>
  <c r="B46" i="67"/>
  <c r="B85" i="67" s="1"/>
  <c r="M41" i="67"/>
  <c r="L41" i="67"/>
  <c r="K41" i="67"/>
  <c r="J41" i="67"/>
  <c r="M40" i="67"/>
  <c r="L40" i="67"/>
  <c r="J40" i="67"/>
  <c r="M39" i="67"/>
  <c r="L39" i="67"/>
  <c r="J39" i="67"/>
  <c r="D40" i="67"/>
  <c r="K40" i="67" s="1"/>
  <c r="D39" i="67"/>
  <c r="K39" i="67" s="1"/>
  <c r="B36" i="67"/>
  <c r="J36" i="67" s="1"/>
  <c r="BZ31" i="1"/>
  <c r="B35" i="67"/>
  <c r="B117" i="67" s="1"/>
  <c r="J117" i="67" s="1"/>
  <c r="O41" i="67" l="1"/>
  <c r="O60" i="67"/>
  <c r="O61" i="67"/>
  <c r="O62" i="67"/>
  <c r="O63" i="67"/>
  <c r="O66" i="67"/>
  <c r="O67" i="67"/>
  <c r="O68" i="67"/>
  <c r="O69" i="67"/>
  <c r="N40" i="67"/>
  <c r="N41" i="67"/>
  <c r="N36" i="67"/>
  <c r="O103" i="67"/>
  <c r="O104" i="67"/>
  <c r="O105" i="67"/>
  <c r="O106" i="67"/>
  <c r="O112" i="67"/>
  <c r="B128" i="67"/>
  <c r="D121" i="67"/>
  <c r="K121" i="67" s="1"/>
  <c r="O121" i="67" s="1"/>
  <c r="O36" i="67"/>
  <c r="N78" i="67"/>
  <c r="N79" i="67"/>
  <c r="N115" i="67"/>
  <c r="O116" i="67"/>
  <c r="N116" i="67"/>
  <c r="N121" i="67"/>
  <c r="N122" i="67"/>
  <c r="O123" i="67"/>
  <c r="N123" i="67"/>
  <c r="B118" i="67"/>
  <c r="J118" i="67" s="1"/>
  <c r="D122" i="67"/>
  <c r="K122" i="67" s="1"/>
  <c r="O122" i="67" s="1"/>
  <c r="O109" i="67"/>
  <c r="N109" i="67"/>
  <c r="O110" i="67"/>
  <c r="N110" i="67"/>
  <c r="O111" i="67"/>
  <c r="N111" i="67"/>
  <c r="O74" i="67"/>
  <c r="N74" i="67"/>
  <c r="N70" i="67"/>
  <c r="O71" i="67"/>
  <c r="N71" i="67"/>
  <c r="O80" i="67"/>
  <c r="N80" i="67"/>
  <c r="O117" i="67"/>
  <c r="N113" i="67"/>
  <c r="N72" i="67"/>
  <c r="O73" i="67"/>
  <c r="N117" i="67"/>
  <c r="O118" i="67"/>
  <c r="N118" i="67"/>
  <c r="O114" i="67"/>
  <c r="N114" i="67"/>
  <c r="L124" i="67"/>
  <c r="N124" i="67" s="1"/>
  <c r="L125" i="67"/>
  <c r="N125" i="67" s="1"/>
  <c r="O125" i="67" s="1"/>
  <c r="L126" i="67"/>
  <c r="N126" i="67" s="1"/>
  <c r="O126" i="67" s="1"/>
  <c r="N76" i="67"/>
  <c r="N73" i="67"/>
  <c r="O76" i="67"/>
  <c r="O78" i="67"/>
  <c r="O79" i="67"/>
  <c r="L64" i="67"/>
  <c r="L65" i="67"/>
  <c r="L81" i="67"/>
  <c r="N81" i="67" s="1"/>
  <c r="L82" i="67"/>
  <c r="N82" i="67" s="1"/>
  <c r="O82" i="67" s="1"/>
  <c r="L83" i="67"/>
  <c r="N83" i="67" s="1"/>
  <c r="O83" i="67" s="1"/>
  <c r="N39" i="67"/>
  <c r="O39" i="67"/>
  <c r="O40" i="67"/>
  <c r="O124" i="67" l="1"/>
  <c r="O81" i="67"/>
  <c r="D17" i="67" l="1"/>
  <c r="D99" i="67" s="1"/>
  <c r="K99" i="67" s="1"/>
  <c r="FQ27" i="77"/>
  <c r="DG27" i="77"/>
  <c r="GM31" i="1"/>
  <c r="GM91" i="1" s="1"/>
  <c r="EX91" i="1"/>
  <c r="ES31" i="1"/>
  <c r="GK31" i="1"/>
  <c r="GK91" i="1" s="1"/>
  <c r="ES91" i="1"/>
  <c r="DT31" i="1"/>
  <c r="BD27" i="77" s="1"/>
  <c r="EB31" i="1"/>
  <c r="EI27" i="77" s="1"/>
  <c r="DN31" i="1"/>
  <c r="EG27" i="77" s="1"/>
  <c r="ET91" i="1"/>
  <c r="JL31" i="1"/>
  <c r="IE31" i="1"/>
  <c r="JM31" i="1"/>
  <c r="HM31" i="1"/>
  <c r="HE31" i="1"/>
  <c r="GQ31" i="1"/>
  <c r="HD31" i="1"/>
  <c r="HC31" i="1"/>
  <c r="HB31" i="1"/>
  <c r="HA31" i="1"/>
  <c r="GZ31" i="1"/>
  <c r="CZ27" i="77" l="1"/>
  <c r="FH27" i="77"/>
  <c r="AQ8" i="1"/>
  <c r="CI8" i="77" s="1"/>
  <c r="AY31" i="1"/>
  <c r="AV31" i="1"/>
  <c r="AZ31" i="1"/>
  <c r="AS31" i="1"/>
  <c r="W27" i="77" s="1"/>
  <c r="BN22" i="77"/>
  <c r="C14" i="77"/>
  <c r="L8" i="77"/>
  <c r="I8" i="77"/>
  <c r="C25" i="68"/>
  <c r="N25" i="68" s="1"/>
  <c r="BT16" i="1"/>
  <c r="BR16" i="1"/>
  <c r="BF18" i="1"/>
  <c r="E11" i="86" l="1"/>
  <c r="Y27" i="77"/>
  <c r="AF27" i="77"/>
  <c r="AJ27" i="77"/>
  <c r="X15" i="77"/>
  <c r="H8" i="86"/>
  <c r="H19" i="67"/>
  <c r="C18" i="1"/>
  <c r="C15" i="77" s="1"/>
  <c r="H18" i="1"/>
  <c r="G15" i="77" s="1"/>
  <c r="C19" i="1"/>
  <c r="C9" i="77"/>
  <c r="BF17" i="1"/>
  <c r="DI17" i="1"/>
  <c r="DH17" i="1"/>
  <c r="DG17" i="1"/>
  <c r="DE17" i="1"/>
  <c r="CM17" i="1"/>
  <c r="CK17" i="1"/>
  <c r="CI17" i="1"/>
  <c r="CG17" i="1"/>
  <c r="BY17" i="1"/>
  <c r="AS17" i="1"/>
  <c r="AK17" i="1"/>
  <c r="AH17" i="1"/>
  <c r="AD17" i="1"/>
  <c r="Y17" i="1"/>
  <c r="D17" i="1"/>
  <c r="C29" i="1"/>
  <c r="C25" i="77" s="1"/>
  <c r="C30" i="1"/>
  <c r="AS30" i="1"/>
  <c r="AQ30" i="1"/>
  <c r="AN30" i="1"/>
  <c r="AK30" i="1"/>
  <c r="AJ30" i="1"/>
  <c r="AD30" i="1"/>
  <c r="AE30" i="1" s="1"/>
  <c r="M26" i="77" s="1"/>
  <c r="BT29" i="1"/>
  <c r="BR29" i="1"/>
  <c r="AC25" i="77" s="1"/>
  <c r="BK29" i="1"/>
  <c r="BJ29" i="1"/>
  <c r="Y25" i="77" l="1"/>
  <c r="F10" i="86"/>
  <c r="Z25" i="77"/>
  <c r="I10" i="86"/>
  <c r="AE25" i="77"/>
  <c r="H101" i="67"/>
  <c r="M101" i="67" s="1"/>
  <c r="M58" i="67"/>
  <c r="D25" i="68"/>
  <c r="D14" i="77"/>
  <c r="X14" i="77"/>
  <c r="BF9" i="1"/>
  <c r="H17" i="1"/>
  <c r="C16" i="77"/>
  <c r="C27" i="68"/>
  <c r="AM17" i="1"/>
  <c r="AM30" i="1"/>
  <c r="T26" i="77" s="1"/>
  <c r="L26" i="77"/>
  <c r="D30" i="1"/>
  <c r="C26" i="77"/>
  <c r="C38" i="68"/>
  <c r="AE17" i="1"/>
  <c r="AJ17" i="1"/>
  <c r="H7" i="86" l="1"/>
  <c r="F18" i="67"/>
  <c r="F100" i="67" s="1"/>
  <c r="L100" i="67" s="1"/>
  <c r="H18" i="67"/>
  <c r="N58" i="67"/>
  <c r="O58" i="67"/>
  <c r="G10" i="86"/>
  <c r="O101" i="67"/>
  <c r="N101" i="67"/>
  <c r="G14" i="77"/>
  <c r="F17" i="1"/>
  <c r="E14" i="77" s="1"/>
  <c r="X9" i="77"/>
  <c r="H9" i="1"/>
  <c r="G9" i="77" s="1"/>
  <c r="D26" i="77"/>
  <c r="D38" i="68"/>
  <c r="DU29" i="1"/>
  <c r="M57" i="67" l="1"/>
  <c r="C26" i="1"/>
  <c r="CI31" i="1"/>
  <c r="AO27" i="77" s="1"/>
  <c r="AY75" i="1"/>
  <c r="N57" i="67" l="1"/>
  <c r="O57" i="67"/>
  <c r="H100" i="67"/>
  <c r="M100" i="67" s="1"/>
  <c r="BH31" i="1"/>
  <c r="Z27" i="77" l="1"/>
  <c r="I11" i="86"/>
  <c r="O11" i="86" s="1"/>
  <c r="N100" i="67"/>
  <c r="O100" i="67"/>
  <c r="C8" i="77"/>
  <c r="C11" i="77"/>
  <c r="CK31" i="1" l="1"/>
  <c r="BV31" i="1"/>
  <c r="I28" i="80"/>
  <c r="D8" i="80"/>
  <c r="I8" i="80" s="1"/>
  <c r="CG31" i="1" l="1"/>
  <c r="AP27" i="77"/>
  <c r="AB31" i="1"/>
  <c r="AE31" i="1" s="1"/>
  <c r="BX31" i="1"/>
  <c r="CR27" i="77" s="1"/>
  <c r="D22" i="80"/>
  <c r="D21" i="80"/>
  <c r="I14" i="80"/>
  <c r="I10" i="80"/>
  <c r="L27" i="77" l="1"/>
  <c r="M27" i="77"/>
  <c r="BU31" i="1"/>
  <c r="G19" i="80"/>
  <c r="G18" i="80"/>
  <c r="D17" i="80"/>
  <c r="I17" i="80" s="1"/>
  <c r="AB36" i="77" l="1"/>
  <c r="BE75" i="1"/>
  <c r="D18" i="80"/>
  <c r="I18" i="80" s="1"/>
  <c r="AC36" i="77"/>
  <c r="BR75" i="1"/>
  <c r="D19" i="80"/>
  <c r="I19" i="80" s="1"/>
  <c r="G20" i="80"/>
  <c r="BT75" i="1" s="1"/>
  <c r="C27" i="77"/>
  <c r="K23" i="68" l="1"/>
  <c r="K22" i="68"/>
  <c r="F13" i="1"/>
  <c r="C23" i="68"/>
  <c r="N23" i="68" s="1"/>
  <c r="C12" i="1"/>
  <c r="Y10" i="1"/>
  <c r="AM10" i="1" s="1"/>
  <c r="D12" i="1"/>
  <c r="F10" i="1"/>
  <c r="AS10" i="1"/>
  <c r="AK10" i="1"/>
  <c r="AH10" i="1"/>
  <c r="D11" i="1"/>
  <c r="AJ10" i="1" l="1"/>
  <c r="AE10" i="1"/>
  <c r="C10" i="1"/>
  <c r="C10" i="77" s="1"/>
  <c r="D10" i="1"/>
  <c r="AS8" i="1"/>
  <c r="AM8" i="1"/>
  <c r="AK8" i="1"/>
  <c r="AJ8" i="1"/>
  <c r="AH8" i="1"/>
  <c r="AE8" i="1"/>
  <c r="M8" i="77" s="1"/>
  <c r="AE19" i="1"/>
  <c r="D13" i="1"/>
  <c r="D92" i="1"/>
  <c r="Q8" i="77" l="1"/>
  <c r="D6" i="86"/>
  <c r="J6" i="86" s="1"/>
  <c r="T8" i="77"/>
  <c r="G6" i="86"/>
  <c r="D23" i="68"/>
  <c r="D11" i="77"/>
  <c r="D22" i="68"/>
  <c r="D10" i="77"/>
  <c r="C7" i="1"/>
  <c r="C22" i="68"/>
  <c r="N22" i="68" s="1"/>
  <c r="F6" i="81"/>
  <c r="E6" i="81"/>
  <c r="C5" i="81"/>
  <c r="F5" i="81" s="1"/>
  <c r="DK13" i="1" s="1"/>
  <c r="E5" i="81"/>
  <c r="E4" i="81"/>
  <c r="F4" i="81"/>
  <c r="DK10" i="1" s="1"/>
  <c r="N7" i="86" l="1"/>
  <c r="K21" i="68" l="1"/>
  <c r="C21" i="68" l="1"/>
  <c r="N21" i="68" s="1"/>
  <c r="AM9" i="1" l="1"/>
  <c r="AK9" i="1"/>
  <c r="AJ9" i="1"/>
  <c r="AH9" i="1"/>
  <c r="AE9" i="1"/>
  <c r="F9" i="1"/>
  <c r="E9" i="77" s="1"/>
  <c r="D9" i="1"/>
  <c r="D9" i="77" s="1"/>
  <c r="D21" i="68" l="1"/>
  <c r="FV27" i="77" l="1"/>
  <c r="FV38" i="77" s="1"/>
  <c r="DB27" i="77"/>
  <c r="DN27" i="77"/>
  <c r="DQ27" i="77"/>
  <c r="ET27" i="77"/>
  <c r="CU27" i="77"/>
  <c r="EU27" i="77"/>
  <c r="FU27" i="77" l="1"/>
  <c r="FU38" i="77" s="1"/>
  <c r="FT27" i="77"/>
  <c r="FT38" i="77" s="1"/>
  <c r="DA27" i="77"/>
  <c r="CT27" i="77"/>
  <c r="JM91" i="1"/>
  <c r="JL91" i="1"/>
  <c r="F37" i="67" l="1"/>
  <c r="F119" i="67" s="1"/>
  <c r="L119" i="67" s="1"/>
  <c r="B31" i="67"/>
  <c r="BX91" i="1"/>
  <c r="B70" i="67" l="1"/>
  <c r="J70" i="67" s="1"/>
  <c r="O70" i="67" s="1"/>
  <c r="O119" i="67"/>
  <c r="N119" i="67"/>
  <c r="C92" i="1"/>
  <c r="B113" i="67" l="1"/>
  <c r="J113" i="67" s="1"/>
  <c r="O113" i="67" s="1"/>
  <c r="B33" i="67"/>
  <c r="J72" i="67" l="1"/>
  <c r="O72" i="67" s="1"/>
  <c r="B115" i="67" l="1"/>
  <c r="J115" i="67" s="1"/>
  <c r="O115" i="67" s="1"/>
  <c r="Y45" i="87" l="1"/>
  <c r="Y44" i="87"/>
  <c r="Y43" i="87"/>
  <c r="AA45" i="87"/>
  <c r="AA44" i="87"/>
  <c r="AA43" i="87"/>
  <c r="Y24" i="87"/>
  <c r="Y13" i="87" l="1"/>
  <c r="Z53" i="87" l="1"/>
  <c r="L40" i="87"/>
  <c r="M40" i="87"/>
  <c r="Y40" i="87" s="1"/>
  <c r="AA49" i="87"/>
  <c r="AA46" i="87"/>
  <c r="AA42" i="87"/>
  <c r="Y48" i="87"/>
  <c r="Y47" i="87"/>
  <c r="Y46" i="87"/>
  <c r="AI53" i="87"/>
  <c r="AJ53" i="87" s="1"/>
  <c r="AK53" i="87" s="1"/>
  <c r="U53" i="87"/>
  <c r="T53" i="87"/>
  <c r="S53" i="87"/>
  <c r="P53" i="87"/>
  <c r="N53" i="87"/>
  <c r="K53" i="87"/>
  <c r="J53" i="87"/>
  <c r="I53" i="87"/>
  <c r="H53" i="87"/>
  <c r="G51" i="87"/>
  <c r="B51" i="87"/>
  <c r="AF48" i="87"/>
  <c r="AI48" i="87" s="1"/>
  <c r="AJ48" i="87" s="1"/>
  <c r="AK48" i="87" s="1"/>
  <c r="AF47" i="87"/>
  <c r="AI47" i="87" s="1"/>
  <c r="AJ47" i="87" s="1"/>
  <c r="AK47" i="87" s="1"/>
  <c r="Q47" i="87"/>
  <c r="AA47" i="87" s="1"/>
  <c r="D47" i="87"/>
  <c r="D51" i="87" s="1"/>
  <c r="AI46" i="87"/>
  <c r="AJ46" i="87" s="1"/>
  <c r="AK46" i="87" s="1"/>
  <c r="AI45" i="87"/>
  <c r="AJ45" i="87" s="1"/>
  <c r="AK45" i="87" s="1"/>
  <c r="AF44" i="87"/>
  <c r="AI44" i="87" s="1"/>
  <c r="AJ44" i="87" s="1"/>
  <c r="AK44" i="87" s="1"/>
  <c r="AI43" i="87"/>
  <c r="AJ43" i="87" s="1"/>
  <c r="AK43" i="87" s="1"/>
  <c r="AF41" i="87"/>
  <c r="AI41" i="87" s="1"/>
  <c r="AJ41" i="87" s="1"/>
  <c r="AK41" i="87" s="1"/>
  <c r="Q41" i="87"/>
  <c r="AA41" i="87" s="1"/>
  <c r="M41" i="87"/>
  <c r="Y41" i="87" s="1"/>
  <c r="AI40" i="87"/>
  <c r="AJ40" i="87" s="1"/>
  <c r="AK40" i="87" s="1"/>
  <c r="C45" i="87" s="1"/>
  <c r="M39" i="87"/>
  <c r="Y39" i="87" s="1"/>
  <c r="AL38" i="87"/>
  <c r="AM38" i="87" s="1"/>
  <c r="C37" i="87"/>
  <c r="E37" i="87" s="1"/>
  <c r="C36" i="87"/>
  <c r="E36" i="87" s="1"/>
  <c r="C35" i="87"/>
  <c r="E35" i="87" s="1"/>
  <c r="C34" i="87"/>
  <c r="E34" i="87" s="1"/>
  <c r="AM33" i="87"/>
  <c r="O33" i="87"/>
  <c r="O53" i="87" s="1"/>
  <c r="C33" i="87"/>
  <c r="E33" i="87" s="1"/>
  <c r="C32" i="87"/>
  <c r="E32" i="87" s="1"/>
  <c r="C31" i="87"/>
  <c r="E31" i="87" s="1"/>
  <c r="AF29" i="87"/>
  <c r="AI29" i="87" s="1"/>
  <c r="AJ29" i="87" s="1"/>
  <c r="AK29" i="87" s="1"/>
  <c r="C29" i="87" s="1"/>
  <c r="AC29" i="87"/>
  <c r="G26" i="87"/>
  <c r="D26" i="87"/>
  <c r="B26" i="87"/>
  <c r="V25" i="87"/>
  <c r="R25" i="87"/>
  <c r="R53" i="87" s="1"/>
  <c r="M25" i="87"/>
  <c r="E24" i="87"/>
  <c r="C24" i="87"/>
  <c r="C23" i="87"/>
  <c r="G20" i="87"/>
  <c r="D20" i="87"/>
  <c r="V18" i="87"/>
  <c r="E18" i="87"/>
  <c r="C18" i="87"/>
  <c r="E16" i="87"/>
  <c r="Q15" i="87"/>
  <c r="Q53" i="87" s="1"/>
  <c r="L15" i="87"/>
  <c r="E15" i="87"/>
  <c r="V14" i="87"/>
  <c r="L14" i="87"/>
  <c r="C14" i="87"/>
  <c r="B14" i="87"/>
  <c r="B20" i="87" s="1"/>
  <c r="V13" i="87"/>
  <c r="V53" i="87" s="1"/>
  <c r="L13" i="87"/>
  <c r="C13" i="87"/>
  <c r="L53" i="87" l="1"/>
  <c r="C39" i="87"/>
  <c r="Y53" i="87"/>
  <c r="AA53" i="87"/>
  <c r="Y54" i="87" s="1"/>
  <c r="C38" i="87"/>
  <c r="E38" i="87" s="1"/>
  <c r="G53" i="87"/>
  <c r="G65" i="87" s="1"/>
  <c r="C48" i="87"/>
  <c r="C46" i="87"/>
  <c r="E47" i="87"/>
  <c r="C41" i="87"/>
  <c r="D53" i="87"/>
  <c r="M53" i="87"/>
  <c r="I54" i="87" s="1"/>
  <c r="E48" i="87"/>
  <c r="C47" i="87"/>
  <c r="E46" i="87"/>
  <c r="E45" i="87"/>
  <c r="C44" i="87"/>
  <c r="E44" i="87" s="1"/>
  <c r="AM40" i="87"/>
  <c r="C43" i="87"/>
  <c r="E43" i="87" s="1"/>
  <c r="E41" i="87"/>
  <c r="C40" i="87"/>
  <c r="E40" i="87" s="1"/>
  <c r="C15" i="87"/>
  <c r="C50" i="87"/>
  <c r="E50" i="87" s="1"/>
  <c r="C30" i="87"/>
  <c r="E30" i="87" s="1"/>
  <c r="C25" i="87"/>
  <c r="C26" i="87" s="1"/>
  <c r="C17" i="87"/>
  <c r="E17" i="87" s="1"/>
  <c r="E20" i="87" s="1"/>
  <c r="AM45" i="87"/>
  <c r="B53" i="87"/>
  <c r="C20" i="87"/>
  <c r="E29" i="87"/>
  <c r="C49" i="87"/>
  <c r="E49" i="87" s="1"/>
  <c r="E42" i="87"/>
  <c r="C42" i="87"/>
  <c r="E39" i="87"/>
  <c r="E23" i="87"/>
  <c r="E26" i="87" s="1"/>
  <c r="C51" i="87" l="1"/>
  <c r="C53" i="87" s="1"/>
  <c r="E51" i="87"/>
  <c r="E53" i="87" s="1"/>
  <c r="E65" i="87" s="1"/>
  <c r="AM46" i="87"/>
  <c r="X19" i="76" l="1"/>
  <c r="X18" i="76"/>
  <c r="X17" i="76"/>
  <c r="X15" i="76"/>
  <c r="X14" i="76"/>
  <c r="X13" i="76"/>
  <c r="X11" i="76"/>
  <c r="X10" i="76"/>
  <c r="X9" i="76"/>
  <c r="X7" i="76"/>
  <c r="X6" i="76"/>
  <c r="X5" i="76"/>
  <c r="U18" i="76"/>
  <c r="U17" i="76"/>
  <c r="T17" i="76"/>
  <c r="U15" i="76"/>
  <c r="T15" i="76"/>
  <c r="S15" i="76"/>
  <c r="U14" i="76"/>
  <c r="T14" i="76"/>
  <c r="S14" i="76"/>
  <c r="R14" i="76"/>
  <c r="U13" i="76"/>
  <c r="T13" i="76"/>
  <c r="S13" i="76"/>
  <c r="R13" i="76"/>
  <c r="Q13" i="76"/>
  <c r="U11" i="76"/>
  <c r="T11" i="76"/>
  <c r="S11" i="76"/>
  <c r="R11" i="76"/>
  <c r="Q11" i="76"/>
  <c r="P11" i="76"/>
  <c r="U10" i="76"/>
  <c r="T10" i="76"/>
  <c r="S10" i="76"/>
  <c r="R10" i="76"/>
  <c r="Q10" i="76"/>
  <c r="P10" i="76"/>
  <c r="O10" i="76"/>
  <c r="U9" i="76"/>
  <c r="T9" i="76"/>
  <c r="S9" i="76"/>
  <c r="R9" i="76"/>
  <c r="Q9" i="76"/>
  <c r="P9" i="76"/>
  <c r="O9" i="76"/>
  <c r="N9" i="76"/>
  <c r="U7" i="76"/>
  <c r="T7" i="76"/>
  <c r="S7" i="76"/>
  <c r="R7" i="76"/>
  <c r="Q7" i="76"/>
  <c r="P7" i="76"/>
  <c r="O7" i="76"/>
  <c r="N7" i="76"/>
  <c r="M7" i="76"/>
  <c r="U6" i="76"/>
  <c r="T6" i="76"/>
  <c r="S6" i="76"/>
  <c r="R6" i="76"/>
  <c r="Q6" i="76"/>
  <c r="P6" i="76"/>
  <c r="O6" i="76"/>
  <c r="N6" i="76"/>
  <c r="M6" i="76"/>
  <c r="L6" i="76"/>
  <c r="U5" i="76"/>
  <c r="T5" i="76"/>
  <c r="S5" i="76"/>
  <c r="R5" i="76"/>
  <c r="Q5" i="76"/>
  <c r="P5" i="76"/>
  <c r="O5" i="76"/>
  <c r="N5" i="76"/>
  <c r="M5" i="76"/>
  <c r="L5" i="76"/>
  <c r="K5" i="76"/>
  <c r="S11" i="72"/>
  <c r="S10" i="72"/>
  <c r="S9" i="72"/>
  <c r="S6" i="72"/>
  <c r="S7" i="72"/>
  <c r="S5" i="72"/>
  <c r="S13" i="72"/>
  <c r="M7" i="72"/>
  <c r="M6" i="72"/>
  <c r="M5" i="72"/>
  <c r="M9" i="72"/>
  <c r="M10" i="72"/>
  <c r="M11" i="72"/>
  <c r="M13" i="72"/>
  <c r="M14" i="72"/>
  <c r="J5" i="72"/>
  <c r="J6" i="72"/>
  <c r="J7" i="72"/>
  <c r="J9" i="72"/>
  <c r="J10" i="72"/>
  <c r="F5" i="72"/>
  <c r="G5" i="72"/>
  <c r="G6" i="72"/>
  <c r="H5" i="72"/>
  <c r="H6" i="72"/>
  <c r="H7" i="72"/>
  <c r="I5" i="72"/>
  <c r="I6" i="72"/>
  <c r="I7" i="72"/>
  <c r="I9" i="72"/>
  <c r="K7" i="72"/>
  <c r="K6" i="72"/>
  <c r="K5" i="72"/>
  <c r="K9" i="72"/>
  <c r="K10" i="72"/>
  <c r="K11" i="72"/>
  <c r="L7" i="72"/>
  <c r="L6" i="72"/>
  <c r="L5" i="72"/>
  <c r="L9" i="72"/>
  <c r="L10" i="72"/>
  <c r="L11" i="72"/>
  <c r="L13" i="72"/>
  <c r="N7" i="72"/>
  <c r="N6" i="72"/>
  <c r="N5" i="72"/>
  <c r="N11" i="72"/>
  <c r="N10" i="72"/>
  <c r="N9" i="72"/>
  <c r="N13" i="72"/>
  <c r="N14" i="72"/>
  <c r="N15" i="72"/>
  <c r="O7" i="72"/>
  <c r="O6" i="72"/>
  <c r="O5" i="72"/>
  <c r="O11" i="72"/>
  <c r="O10" i="72"/>
  <c r="O9" i="72"/>
  <c r="O13" i="72"/>
  <c r="O14" i="72"/>
  <c r="O15" i="72"/>
  <c r="O17" i="72"/>
  <c r="P7" i="72"/>
  <c r="P6" i="72"/>
  <c r="P5" i="72"/>
  <c r="P11" i="72"/>
  <c r="P10" i="72"/>
  <c r="P9" i="72"/>
  <c r="P13" i="72"/>
  <c r="P14" i="72"/>
  <c r="P15" i="72"/>
  <c r="P17" i="72"/>
  <c r="P18" i="72"/>
  <c r="H19" i="76"/>
  <c r="H18" i="76"/>
  <c r="H17" i="76"/>
  <c r="H15" i="76"/>
  <c r="H14" i="76"/>
  <c r="H13" i="76"/>
  <c r="H11" i="76"/>
  <c r="H10" i="76"/>
  <c r="H9" i="76"/>
  <c r="H7" i="76"/>
  <c r="H6" i="76"/>
  <c r="D18" i="76"/>
  <c r="D17" i="76"/>
  <c r="D15" i="76"/>
  <c r="D14" i="76"/>
  <c r="D13" i="76"/>
  <c r="D11" i="76"/>
  <c r="D10" i="76"/>
  <c r="D9" i="76"/>
  <c r="D7" i="76"/>
  <c r="D6" i="76"/>
  <c r="D5" i="76"/>
  <c r="H5" i="76"/>
  <c r="G8" i="76"/>
  <c r="E8" i="76"/>
  <c r="E12" i="76" s="1"/>
  <c r="E16" i="76" s="1"/>
  <c r="E20" i="76" s="1"/>
  <c r="B19" i="76"/>
  <c r="D19" i="76" s="1"/>
  <c r="C8" i="76"/>
  <c r="C12" i="76" s="1"/>
  <c r="C16" i="76" s="1"/>
  <c r="C20" i="76" s="1"/>
  <c r="B8" i="76"/>
  <c r="B12" i="76" s="1"/>
  <c r="B16" i="76" s="1"/>
  <c r="B20" i="76" l="1"/>
  <c r="G12" i="76"/>
  <c r="G16" i="76" s="1"/>
  <c r="G20" i="76" s="1"/>
  <c r="D8" i="76"/>
  <c r="D12" i="76" s="1"/>
  <c r="D16" i="76" s="1"/>
  <c r="D20" i="76" s="1"/>
  <c r="B19" i="72" l="1"/>
  <c r="B8" i="72"/>
  <c r="B12" i="72" s="1"/>
  <c r="B16" i="72" s="1"/>
  <c r="B20" i="72" l="1"/>
  <c r="J24" i="86" l="1"/>
  <c r="L24" i="86" s="1"/>
  <c r="L28" i="86"/>
  <c r="L27" i="86"/>
  <c r="L25" i="86"/>
  <c r="L26" i="86"/>
  <c r="J23" i="86"/>
  <c r="L23" i="86" s="1"/>
  <c r="J22" i="86"/>
  <c r="L22" i="86" s="1"/>
  <c r="J21" i="86"/>
  <c r="L21" i="86" s="1"/>
  <c r="J20" i="86"/>
  <c r="L20" i="86" s="1"/>
  <c r="L29" i="86" l="1"/>
  <c r="J29" i="86" s="1"/>
  <c r="N8" i="86"/>
  <c r="N12" i="86" s="1"/>
  <c r="N15" i="86" s="1"/>
  <c r="M6" i="86"/>
  <c r="H12" i="86" l="1"/>
  <c r="F17" i="67" l="1"/>
  <c r="C20" i="68"/>
  <c r="K20" i="68"/>
  <c r="F8" i="1"/>
  <c r="E8" i="77" s="1"/>
  <c r="D8" i="1"/>
  <c r="D8" i="77" s="1"/>
  <c r="F56" i="67" l="1"/>
  <c r="L56" i="67" s="1"/>
  <c r="N20" i="68"/>
  <c r="D20" i="68"/>
  <c r="C7" i="77"/>
  <c r="F99" i="67" l="1"/>
  <c r="L99" i="67" s="1"/>
  <c r="O10" i="86"/>
  <c r="O12" i="86" s="1"/>
  <c r="O15" i="86" s="1"/>
  <c r="I12" i="86"/>
  <c r="L10" i="86"/>
  <c r="M10" i="86"/>
  <c r="F26" i="67"/>
  <c r="F108" i="67" s="1"/>
  <c r="L108" i="67" s="1"/>
  <c r="C19" i="68" l="1"/>
  <c r="F38" i="67" l="1"/>
  <c r="H38" i="67" l="1"/>
  <c r="F120" i="67"/>
  <c r="L120" i="67" s="1"/>
  <c r="K11" i="86"/>
  <c r="K12" i="86" s="1"/>
  <c r="K15" i="86" s="1"/>
  <c r="E12" i="86"/>
  <c r="AY26" i="1"/>
  <c r="EV26" i="1"/>
  <c r="ED26" i="1"/>
  <c r="DX26" i="1"/>
  <c r="D7" i="1"/>
  <c r="I22" i="80"/>
  <c r="D43" i="80"/>
  <c r="I21" i="80"/>
  <c r="H77" i="67" l="1"/>
  <c r="M77" i="67" s="1"/>
  <c r="D7" i="77"/>
  <c r="D19" i="68"/>
  <c r="G16" i="77"/>
  <c r="F18" i="1"/>
  <c r="E15" i="77" s="1"/>
  <c r="H120" i="67" l="1"/>
  <c r="M120" i="67" s="1"/>
  <c r="N120" i="67" s="1"/>
  <c r="N77" i="67"/>
  <c r="O77" i="67"/>
  <c r="C26" i="68"/>
  <c r="O120" i="67" l="1"/>
  <c r="C24" i="68"/>
  <c r="C18" i="68" s="1"/>
  <c r="C15" i="1" l="1"/>
  <c r="D16" i="1"/>
  <c r="M32" i="67"/>
  <c r="L32" i="67"/>
  <c r="K32" i="67"/>
  <c r="J32" i="67"/>
  <c r="N32" i="67" l="1"/>
  <c r="O32" i="67"/>
  <c r="DI18" i="1" l="1"/>
  <c r="DH18" i="1"/>
  <c r="DG18" i="1"/>
  <c r="DE18" i="1"/>
  <c r="CM18" i="1"/>
  <c r="CK18" i="1"/>
  <c r="CI18" i="1"/>
  <c r="CG18" i="1"/>
  <c r="BY18" i="1"/>
  <c r="AS18" i="1"/>
  <c r="AD18" i="1"/>
  <c r="Y18" i="1"/>
  <c r="G43" i="80" l="1"/>
  <c r="CB79" i="1" s="1"/>
  <c r="I42" i="80"/>
  <c r="H42" i="80" s="1"/>
  <c r="G42" i="80"/>
  <c r="CA79" i="1" s="1"/>
  <c r="H28" i="80"/>
  <c r="H29" i="80"/>
  <c r="G14" i="80"/>
  <c r="BD25" i="77"/>
  <c r="G12" i="80" l="1"/>
  <c r="AU75" i="1" s="1"/>
  <c r="I43" i="80"/>
  <c r="H43" i="80" s="1"/>
  <c r="CR37" i="77"/>
  <c r="AF36" i="77" l="1"/>
  <c r="F85" i="67"/>
  <c r="F46" i="67"/>
  <c r="F128" i="67" s="1"/>
  <c r="BT87" i="1"/>
  <c r="BT86" i="1"/>
  <c r="BR87" i="1"/>
  <c r="BR86" i="1"/>
  <c r="C87" i="1"/>
  <c r="C86" i="1"/>
  <c r="EB91" i="1" l="1"/>
  <c r="EA91" i="1" l="1"/>
  <c r="D26" i="1" l="1"/>
  <c r="C25" i="1" l="1"/>
  <c r="C22" i="77" s="1"/>
  <c r="L28" i="68" l="1"/>
  <c r="J28" i="68"/>
  <c r="I28" i="68"/>
  <c r="H28" i="68"/>
  <c r="K37" i="68"/>
  <c r="L36" i="68"/>
  <c r="K36" i="68"/>
  <c r="K28" i="68"/>
  <c r="G28" i="68" l="1"/>
  <c r="G42" i="68"/>
  <c r="K42" i="68" s="1"/>
  <c r="H129" i="67" l="1"/>
  <c r="M129" i="67" s="1"/>
  <c r="B130" i="67"/>
  <c r="J130" i="67" s="1"/>
  <c r="L130" i="67"/>
  <c r="K130" i="67"/>
  <c r="L129" i="67"/>
  <c r="K129" i="67"/>
  <c r="J129" i="67"/>
  <c r="L87" i="67"/>
  <c r="K87" i="67"/>
  <c r="M86" i="67"/>
  <c r="L86" i="67"/>
  <c r="K86" i="67"/>
  <c r="J86" i="67"/>
  <c r="J87" i="67" l="1"/>
  <c r="N86" i="67"/>
  <c r="O86" i="67" s="1"/>
  <c r="N129" i="67"/>
  <c r="O129" i="67" s="1"/>
  <c r="L38" i="67"/>
  <c r="K38" i="67"/>
  <c r="J38" i="67"/>
  <c r="M38" i="67" l="1"/>
  <c r="O38" i="67" s="1"/>
  <c r="N38" i="67" l="1"/>
  <c r="H26" i="67" l="1"/>
  <c r="K26" i="67"/>
  <c r="J26" i="67"/>
  <c r="M29" i="67"/>
  <c r="L29" i="67"/>
  <c r="J29" i="67"/>
  <c r="C85" i="1"/>
  <c r="AS85" i="1"/>
  <c r="Y85" i="1"/>
  <c r="D20" i="67"/>
  <c r="D59" i="67" s="1"/>
  <c r="K21" i="85"/>
  <c r="H17" i="67"/>
  <c r="H56" i="67" l="1"/>
  <c r="M56" i="67" s="1"/>
  <c r="D102" i="67"/>
  <c r="K102" i="67" s="1"/>
  <c r="K59" i="67"/>
  <c r="H65" i="67"/>
  <c r="M65" i="67" s="1"/>
  <c r="M26" i="67"/>
  <c r="N29" i="67"/>
  <c r="L26" i="67"/>
  <c r="H99" i="67" l="1"/>
  <c r="M99" i="67" s="1"/>
  <c r="H108" i="67"/>
  <c r="M108" i="67" s="1"/>
  <c r="N108" i="67" s="1"/>
  <c r="N65" i="67"/>
  <c r="O65" i="67"/>
  <c r="N56" i="67"/>
  <c r="O56" i="67"/>
  <c r="N99" i="67"/>
  <c r="O99" i="67"/>
  <c r="N26" i="67"/>
  <c r="O26" i="67"/>
  <c r="K20" i="67"/>
  <c r="J20" i="67"/>
  <c r="O108" i="67" l="1"/>
  <c r="I48" i="80"/>
  <c r="K29" i="67" l="1"/>
  <c r="O29" i="67" s="1"/>
  <c r="AS29" i="1"/>
  <c r="M44" i="67" l="1"/>
  <c r="L44" i="67"/>
  <c r="K44" i="67"/>
  <c r="J44" i="67"/>
  <c r="M43" i="67"/>
  <c r="L43" i="67"/>
  <c r="K43" i="67"/>
  <c r="J43" i="67"/>
  <c r="M19" i="67"/>
  <c r="L19" i="67"/>
  <c r="K19" i="67"/>
  <c r="J19" i="67"/>
  <c r="C33" i="77"/>
  <c r="C32" i="77"/>
  <c r="AD33" i="77"/>
  <c r="AD32" i="77"/>
  <c r="AC33" i="77"/>
  <c r="AC32" i="77"/>
  <c r="AM31" i="77"/>
  <c r="AR31" i="77"/>
  <c r="FN31" i="77"/>
  <c r="W31" i="77"/>
  <c r="L19" i="77"/>
  <c r="I19" i="77"/>
  <c r="FS38" i="77"/>
  <c r="FR38" i="77"/>
  <c r="AM13" i="77"/>
  <c r="N44" i="67" l="1"/>
  <c r="O44" i="67" s="1"/>
  <c r="N43" i="67"/>
  <c r="O43" i="67" s="1"/>
  <c r="O19" i="67"/>
  <c r="N19" i="67"/>
  <c r="AQ31" i="1"/>
  <c r="AN31" i="1"/>
  <c r="AM31" i="1"/>
  <c r="AK31" i="1"/>
  <c r="AJ31" i="1"/>
  <c r="Q27" i="77" l="1"/>
  <c r="D11" i="86"/>
  <c r="R27" i="77"/>
  <c r="F11" i="86"/>
  <c r="T27" i="77"/>
  <c r="G11" i="86"/>
  <c r="EG91" i="1"/>
  <c r="EF91" i="1"/>
  <c r="AN83" i="1"/>
  <c r="U31" i="77" s="1"/>
  <c r="BC31" i="77"/>
  <c r="AA31" i="77"/>
  <c r="BA91" i="1"/>
  <c r="Y31" i="77"/>
  <c r="AQ83" i="1"/>
  <c r="CI31" i="77" s="1"/>
  <c r="KF91" i="1"/>
  <c r="BW91" i="1"/>
  <c r="DD91" i="1"/>
  <c r="DC91" i="1"/>
  <c r="AP31" i="77"/>
  <c r="AO31" i="77"/>
  <c r="M11" i="86" l="1"/>
  <c r="M12" i="86" s="1"/>
  <c r="M15" i="86" s="1"/>
  <c r="G12" i="86"/>
  <c r="L11" i="86"/>
  <c r="L12" i="86" s="1"/>
  <c r="L15" i="86" s="1"/>
  <c r="F12" i="86"/>
  <c r="D12" i="86"/>
  <c r="J11" i="86"/>
  <c r="J12" i="86" s="1"/>
  <c r="CR31" i="77"/>
  <c r="AK83" i="1"/>
  <c r="R31" i="77" s="1"/>
  <c r="L31" i="77"/>
  <c r="C31" i="77"/>
  <c r="AG31" i="77"/>
  <c r="AM83" i="1"/>
  <c r="T31" i="77" s="1"/>
  <c r="AJ83" i="1"/>
  <c r="Q31" i="77" s="1"/>
  <c r="AE83" i="1"/>
  <c r="M31" i="77" s="1"/>
  <c r="D13" i="86" l="1"/>
  <c r="J15" i="86"/>
  <c r="J16" i="86" s="1"/>
  <c r="L31" i="86" s="1"/>
  <c r="L33" i="86" s="1"/>
  <c r="J13" i="86"/>
  <c r="AB84" i="1"/>
  <c r="Y84" i="1"/>
  <c r="C84" i="1"/>
  <c r="Y82" i="1"/>
  <c r="C82" i="1"/>
  <c r="W20" i="85"/>
  <c r="DF91" i="1"/>
  <c r="DV91" i="1" l="1"/>
  <c r="DU91" i="1"/>
  <c r="D84" i="1" l="1"/>
  <c r="H20" i="85" l="1"/>
  <c r="I20" i="85" s="1"/>
  <c r="K20" i="85" s="1"/>
  <c r="AA19" i="77" l="1"/>
  <c r="AM22" i="1"/>
  <c r="T19" i="77" s="1"/>
  <c r="AK22" i="1"/>
  <c r="AH22" i="1"/>
  <c r="F22" i="1"/>
  <c r="E19" i="77" s="1"/>
  <c r="I23" i="80"/>
  <c r="G10" i="80"/>
  <c r="D85" i="67" l="1"/>
  <c r="K85" i="67" s="1"/>
  <c r="L36" i="77"/>
  <c r="Y75" i="1"/>
  <c r="D46" i="67" s="1"/>
  <c r="D128" i="67" s="1"/>
  <c r="F20" i="67"/>
  <c r="F59" i="67" s="1"/>
  <c r="Y19" i="77"/>
  <c r="AE22" i="1"/>
  <c r="M19" i="77" s="1"/>
  <c r="AJ22" i="1"/>
  <c r="Q19" i="77" s="1"/>
  <c r="F102" i="67" l="1"/>
  <c r="L102" i="67" s="1"/>
  <c r="L59" i="67"/>
  <c r="H20" i="67"/>
  <c r="L20" i="67"/>
  <c r="H59" i="67" l="1"/>
  <c r="M59" i="67" s="1"/>
  <c r="H102" i="67"/>
  <c r="M102" i="67" s="1"/>
  <c r="M20" i="67"/>
  <c r="O20" i="67" s="1"/>
  <c r="AS84" i="1"/>
  <c r="AK19" i="1"/>
  <c r="AH19" i="1"/>
  <c r="F19" i="1"/>
  <c r="E16" i="77" s="1"/>
  <c r="N102" i="67" l="1"/>
  <c r="O102" i="67"/>
  <c r="N59" i="67"/>
  <c r="O59" i="67"/>
  <c r="F16" i="67"/>
  <c r="F55" i="67" s="1"/>
  <c r="N20" i="67"/>
  <c r="F98" i="67" l="1"/>
  <c r="L98" i="67" s="1"/>
  <c r="L55" i="67"/>
  <c r="C95" i="1"/>
  <c r="C45" i="68"/>
  <c r="N45" i="68" s="1"/>
  <c r="D86" i="1"/>
  <c r="D89" i="1"/>
  <c r="D88" i="1"/>
  <c r="D45" i="68" l="1"/>
  <c r="D32" i="77"/>
  <c r="D87" i="1"/>
  <c r="C46" i="68"/>
  <c r="N46" i="68" s="1"/>
  <c r="D46" i="68" l="1"/>
  <c r="D33" i="77"/>
  <c r="R25" i="85"/>
  <c r="R24" i="85"/>
  <c r="R19" i="85"/>
  <c r="R18" i="85"/>
  <c r="H24" i="85"/>
  <c r="S24" i="85" s="1"/>
  <c r="Q22" i="85"/>
  <c r="P22" i="85"/>
  <c r="S18" i="85"/>
  <c r="H19" i="85"/>
  <c r="S19" i="85" s="1"/>
  <c r="T19" i="85" s="1"/>
  <c r="V22" i="85"/>
  <c r="I18" i="85"/>
  <c r="K18" i="85" s="1"/>
  <c r="V28" i="85"/>
  <c r="M12" i="85"/>
  <c r="O12" i="85" s="1"/>
  <c r="Q12" i="85" s="1"/>
  <c r="I19" i="85" l="1"/>
  <c r="K19" i="85" s="1"/>
  <c r="S28" i="85"/>
  <c r="T24" i="85"/>
  <c r="T28" i="85" s="1"/>
  <c r="R12" i="85"/>
  <c r="S22" i="85"/>
  <c r="I24" i="85"/>
  <c r="K24" i="85" s="1"/>
  <c r="T18" i="85"/>
  <c r="T22" i="85" s="1"/>
  <c r="P12" i="85"/>
  <c r="H22" i="85"/>
  <c r="M22" i="85"/>
  <c r="R26" i="85"/>
  <c r="H28" i="85"/>
  <c r="K22" i="85" l="1"/>
  <c r="I22" i="85"/>
  <c r="O22" i="85"/>
  <c r="K28" i="85"/>
  <c r="I28" i="85"/>
  <c r="R27" i="85"/>
  <c r="M28" i="85"/>
  <c r="Q28" i="85" l="1"/>
  <c r="R22" i="85"/>
  <c r="R28" i="85"/>
  <c r="O28" i="85"/>
  <c r="P28" i="85" l="1"/>
  <c r="M15" i="85" l="1"/>
  <c r="R15" i="85" s="1"/>
  <c r="I15" i="85"/>
  <c r="K15" i="85" s="1"/>
  <c r="H14" i="85"/>
  <c r="I14" i="85" s="1"/>
  <c r="K14" i="85" s="1"/>
  <c r="H13" i="85"/>
  <c r="I13" i="85" s="1"/>
  <c r="K13" i="85" s="1"/>
  <c r="S16" i="85"/>
  <c r="S30" i="85" s="1"/>
  <c r="T16" i="85"/>
  <c r="T30" i="85" s="1"/>
  <c r="V16" i="85"/>
  <c r="V30" i="85" s="1"/>
  <c r="M8" i="85"/>
  <c r="R8" i="85" s="1"/>
  <c r="I8" i="85"/>
  <c r="K8" i="85" s="1"/>
  <c r="I12" i="85"/>
  <c r="K12" i="85" s="1"/>
  <c r="H11" i="85"/>
  <c r="M11" i="85" s="1"/>
  <c r="R11" i="85" s="1"/>
  <c r="H10" i="85"/>
  <c r="M10" i="85" s="1"/>
  <c r="R10" i="85" s="1"/>
  <c r="H9" i="85"/>
  <c r="I9" i="85" s="1"/>
  <c r="K9" i="85" s="1"/>
  <c r="O8" i="85" l="1"/>
  <c r="M13" i="85"/>
  <c r="R13" i="85" s="1"/>
  <c r="I10" i="85"/>
  <c r="K10" i="85" s="1"/>
  <c r="O15" i="85"/>
  <c r="O11" i="85"/>
  <c r="M9" i="85"/>
  <c r="R9" i="85" s="1"/>
  <c r="I11" i="85"/>
  <c r="K11" i="85" s="1"/>
  <c r="M14" i="85"/>
  <c r="R14" i="85" s="1"/>
  <c r="O10" i="85"/>
  <c r="H16" i="85"/>
  <c r="H30" i="85" s="1"/>
  <c r="L6" i="85"/>
  <c r="J6" i="85"/>
  <c r="G6" i="85"/>
  <c r="L21" i="85" l="1"/>
  <c r="L20" i="85"/>
  <c r="L27" i="85"/>
  <c r="L26" i="85"/>
  <c r="L19" i="85"/>
  <c r="L13" i="85"/>
  <c r="L8" i="85"/>
  <c r="L25" i="85"/>
  <c r="L24" i="85"/>
  <c r="L18" i="85"/>
  <c r="L9" i="85"/>
  <c r="L15" i="85"/>
  <c r="L11" i="85"/>
  <c r="L14" i="85"/>
  <c r="L12" i="85"/>
  <c r="K16" i="85"/>
  <c r="K30" i="85" s="1"/>
  <c r="L10" i="85"/>
  <c r="Q10" i="85"/>
  <c r="P10" i="85"/>
  <c r="Q8" i="85"/>
  <c r="P8" i="85"/>
  <c r="Q11" i="85"/>
  <c r="P11" i="85"/>
  <c r="Q15" i="85"/>
  <c r="P15" i="85"/>
  <c r="W6" i="85"/>
  <c r="O14" i="85"/>
  <c r="O9" i="85"/>
  <c r="O13" i="85"/>
  <c r="M16" i="85"/>
  <c r="M30" i="85" s="1"/>
  <c r="I16" i="85"/>
  <c r="I30" i="85" s="1"/>
  <c r="AM19" i="1" l="1"/>
  <c r="AJ19" i="1"/>
  <c r="Q13" i="85"/>
  <c r="P13" i="85"/>
  <c r="Q9" i="85"/>
  <c r="P9" i="85"/>
  <c r="Q14" i="85"/>
  <c r="Q16" i="85" s="1"/>
  <c r="P14" i="85"/>
  <c r="W13" i="85"/>
  <c r="C13" i="85" s="1"/>
  <c r="R16" i="85"/>
  <c r="R30" i="85" s="1"/>
  <c r="O16" i="85"/>
  <c r="O30" i="85" s="1"/>
  <c r="L22" i="85"/>
  <c r="W18" i="85"/>
  <c r="L28" i="85"/>
  <c r="W24" i="85"/>
  <c r="W8" i="85"/>
  <c r="C8" i="85" s="1"/>
  <c r="L16" i="85"/>
  <c r="P16" i="85" l="1"/>
  <c r="D19" i="1"/>
  <c r="P30" i="85"/>
  <c r="Q30" i="85"/>
  <c r="L30" i="85"/>
  <c r="C18" i="85"/>
  <c r="C22" i="85" s="1"/>
  <c r="W22" i="85"/>
  <c r="C24" i="85"/>
  <c r="C28" i="85" s="1"/>
  <c r="W28" i="85"/>
  <c r="W16" i="85"/>
  <c r="C16" i="85"/>
  <c r="D27" i="68" l="1"/>
  <c r="D16" i="77"/>
  <c r="C30" i="85"/>
  <c r="W30" i="85"/>
  <c r="M37" i="67" l="1"/>
  <c r="L37" i="67"/>
  <c r="K37" i="67"/>
  <c r="M35" i="67"/>
  <c r="L35" i="67"/>
  <c r="K35" i="67"/>
  <c r="J35" i="67"/>
  <c r="N37" i="67" l="1"/>
  <c r="J37" i="67"/>
  <c r="O37" i="67" s="1"/>
  <c r="N35" i="67"/>
  <c r="O35" i="67"/>
  <c r="M17" i="67" l="1"/>
  <c r="L17" i="67"/>
  <c r="J17" i="67"/>
  <c r="M34" i="67"/>
  <c r="L34" i="67"/>
  <c r="K34" i="67"/>
  <c r="J34" i="67"/>
  <c r="M33" i="67"/>
  <c r="L33" i="67"/>
  <c r="K33" i="67"/>
  <c r="J33" i="67"/>
  <c r="M31" i="67"/>
  <c r="L31" i="67"/>
  <c r="K31" i="67"/>
  <c r="J31" i="67"/>
  <c r="M30" i="67"/>
  <c r="L30" i="67"/>
  <c r="K30" i="67"/>
  <c r="J30" i="67"/>
  <c r="K17" i="67" l="1"/>
  <c r="O17" i="67" s="1"/>
  <c r="O30" i="67"/>
  <c r="O31" i="67"/>
  <c r="O33" i="67"/>
  <c r="O34" i="67"/>
  <c r="N17" i="67"/>
  <c r="N30" i="67"/>
  <c r="N31" i="67"/>
  <c r="N33" i="67"/>
  <c r="N34" i="67"/>
  <c r="C29" i="68" l="1"/>
  <c r="C19" i="77"/>
  <c r="AK75" i="1"/>
  <c r="AH75" i="1"/>
  <c r="FQ38" i="77"/>
  <c r="FP38" i="77"/>
  <c r="EZ91" i="1"/>
  <c r="ER91" i="1"/>
  <c r="AE13" i="77"/>
  <c r="AC13" i="77"/>
  <c r="C13" i="77" l="1"/>
  <c r="C12" i="77" s="1"/>
  <c r="C33" i="68"/>
  <c r="D22" i="1"/>
  <c r="C14" i="68"/>
  <c r="D14" i="68" s="1"/>
  <c r="C13" i="68"/>
  <c r="D13" i="68" s="1"/>
  <c r="D77" i="1"/>
  <c r="D76" i="1"/>
  <c r="D29" i="68" l="1"/>
  <c r="D19" i="77"/>
  <c r="D24" i="80"/>
  <c r="D33" i="68"/>
  <c r="AM89" i="1" l="1"/>
  <c r="AK89" i="1"/>
  <c r="AH89" i="1"/>
  <c r="AE89" i="1" l="1"/>
  <c r="AJ89" i="1"/>
  <c r="DB91" i="1" l="1"/>
  <c r="DA91" i="1"/>
  <c r="CZ91" i="1"/>
  <c r="AE84" i="1" l="1"/>
  <c r="Y100" i="1"/>
  <c r="D11" i="83"/>
  <c r="D7" i="83"/>
  <c r="D10" i="83"/>
  <c r="F25" i="67"/>
  <c r="F107" i="67" s="1"/>
  <c r="L107" i="67" s="1"/>
  <c r="H25" i="67" l="1"/>
  <c r="C28" i="68"/>
  <c r="AV97" i="1"/>
  <c r="AQ29" i="1"/>
  <c r="D28" i="68"/>
  <c r="AN29" i="1"/>
  <c r="H64" i="67" l="1"/>
  <c r="M64" i="67" s="1"/>
  <c r="AM29" i="1"/>
  <c r="AJ29" i="1"/>
  <c r="AE29" i="1"/>
  <c r="AK29" i="1"/>
  <c r="N64" i="67" l="1"/>
  <c r="O64" i="67"/>
  <c r="H107" i="67"/>
  <c r="M107" i="67" s="1"/>
  <c r="O107" i="67" l="1"/>
  <c r="N107" i="67"/>
  <c r="AB101" i="1"/>
  <c r="Y99" i="1"/>
  <c r="Y101" i="1" l="1"/>
  <c r="AK100" i="1"/>
  <c r="AH100" i="1"/>
  <c r="AE99" i="1"/>
  <c r="AM99" i="1"/>
  <c r="AK99" i="1"/>
  <c r="AJ99" i="1"/>
  <c r="AH99" i="1"/>
  <c r="AE100" i="1" l="1"/>
  <c r="AE101" i="1" s="1"/>
  <c r="AJ100" i="1"/>
  <c r="AM100" i="1"/>
  <c r="M34" i="68" l="1"/>
  <c r="J34" i="68"/>
  <c r="I34" i="68"/>
  <c r="H34" i="68"/>
  <c r="G34" i="68"/>
  <c r="H94" i="68"/>
  <c r="G94" i="68"/>
  <c r="H91" i="68"/>
  <c r="G91" i="68"/>
  <c r="H40" i="68"/>
  <c r="G40" i="68"/>
  <c r="H31" i="68"/>
  <c r="G31" i="68"/>
  <c r="H18" i="68"/>
  <c r="I94" i="68"/>
  <c r="I91" i="68"/>
  <c r="I40" i="68"/>
  <c r="I31" i="68"/>
  <c r="I18" i="68" s="1"/>
  <c r="J94" i="68"/>
  <c r="J91" i="68"/>
  <c r="J40" i="68"/>
  <c r="J31" i="68"/>
  <c r="J18" i="68" s="1"/>
  <c r="J48" i="68" l="1"/>
  <c r="I48" i="68"/>
  <c r="H48" i="68"/>
  <c r="G18" i="68"/>
  <c r="G48" i="68" s="1"/>
  <c r="I49" i="68" l="1"/>
  <c r="G49" i="68"/>
  <c r="G50" i="68" l="1"/>
  <c r="Q36" i="68"/>
  <c r="Q34" i="68"/>
  <c r="R34" i="68" s="1"/>
  <c r="P36" i="68"/>
  <c r="P39" i="68" s="1"/>
  <c r="R36" i="68" l="1"/>
  <c r="Q39" i="68"/>
  <c r="R39" i="68" s="1"/>
  <c r="K34" i="68" l="1"/>
  <c r="M94" i="68" l="1"/>
  <c r="M91" i="68"/>
  <c r="M40" i="68"/>
  <c r="M31" i="68"/>
  <c r="M28" i="68" s="1"/>
  <c r="M18" i="68" s="1"/>
  <c r="L94" i="68"/>
  <c r="L91" i="68"/>
  <c r="L40" i="68"/>
  <c r="L31" i="68"/>
  <c r="M48" i="68" l="1"/>
  <c r="BE82" i="1"/>
  <c r="M27" i="67" l="1"/>
  <c r="L27" i="67"/>
  <c r="J27" i="67"/>
  <c r="K27" i="67"/>
  <c r="N27" i="67" l="1"/>
  <c r="O27" i="67"/>
  <c r="F11" i="83"/>
  <c r="F10" i="83"/>
  <c r="F7" i="83"/>
  <c r="FO38" i="77"/>
  <c r="AM85" i="1" l="1"/>
  <c r="AK85" i="1"/>
  <c r="AJ85" i="1"/>
  <c r="AH85" i="1"/>
  <c r="AE85" i="1"/>
  <c r="AK18" i="1"/>
  <c r="AJ18" i="1"/>
  <c r="AH18" i="1"/>
  <c r="AE18" i="1" l="1"/>
  <c r="AM18" i="1"/>
  <c r="AM84" i="1" l="1"/>
  <c r="AK84" i="1"/>
  <c r="AJ84" i="1"/>
  <c r="AH84" i="1"/>
  <c r="FJ91" i="1" l="1"/>
  <c r="FI91" i="1"/>
  <c r="N26" i="68" l="1"/>
  <c r="C44" i="68"/>
  <c r="N44" i="68" s="1"/>
  <c r="C43" i="68"/>
  <c r="N43" i="68" s="1"/>
  <c r="D90" i="1" l="1"/>
  <c r="D85" i="1"/>
  <c r="I24" i="80"/>
  <c r="G15" i="80"/>
  <c r="AE36" i="77" s="1"/>
  <c r="G16" i="80"/>
  <c r="D96" i="1" l="1"/>
  <c r="D44" i="68"/>
  <c r="G11" i="80"/>
  <c r="C13" i="83" l="1"/>
  <c r="G7" i="83" l="1"/>
  <c r="G10" i="83"/>
  <c r="D13" i="83"/>
  <c r="G11" i="83" l="1"/>
  <c r="G13" i="83" s="1"/>
  <c r="H13" i="83"/>
  <c r="K28" i="67"/>
  <c r="M24" i="67"/>
  <c r="K24" i="67"/>
  <c r="J24" i="67"/>
  <c r="M28" i="67"/>
  <c r="L28" i="67"/>
  <c r="J28" i="67"/>
  <c r="K25" i="67"/>
  <c r="J25" i="67"/>
  <c r="M23" i="67"/>
  <c r="L23" i="67"/>
  <c r="K23" i="67"/>
  <c r="K21" i="67"/>
  <c r="M22" i="67"/>
  <c r="L22" i="67"/>
  <c r="K22" i="67"/>
  <c r="M21" i="67"/>
  <c r="J21" i="67"/>
  <c r="B16" i="67"/>
  <c r="B55" i="67" s="1"/>
  <c r="AB30" i="77"/>
  <c r="B98" i="67" l="1"/>
  <c r="J98" i="67" s="1"/>
  <c r="J55" i="67"/>
  <c r="J23" i="67"/>
  <c r="O23" i="67" s="1"/>
  <c r="J22" i="67"/>
  <c r="O22" i="67" s="1"/>
  <c r="L24" i="67"/>
  <c r="N24" i="67" s="1"/>
  <c r="N23" i="67"/>
  <c r="N28" i="67"/>
  <c r="N22" i="67"/>
  <c r="O28" i="67"/>
  <c r="L21" i="67"/>
  <c r="N21" i="67" s="1"/>
  <c r="O24" i="67" l="1"/>
  <c r="O21" i="67"/>
  <c r="D16" i="67" l="1"/>
  <c r="D55" i="67" s="1"/>
  <c r="L25" i="67"/>
  <c r="AE16" i="1"/>
  <c r="AM16" i="1"/>
  <c r="D98" i="67" l="1"/>
  <c r="K98" i="67" s="1"/>
  <c r="K55" i="67"/>
  <c r="M25" i="67"/>
  <c r="N25" i="67" s="1"/>
  <c r="O25" i="67" l="1"/>
  <c r="C30" i="77"/>
  <c r="C41" i="68"/>
  <c r="N41" i="68" s="1"/>
  <c r="BE79" i="1"/>
  <c r="L30" i="77" l="1"/>
  <c r="C42" i="68"/>
  <c r="N42" i="68" s="1"/>
  <c r="H14" i="80" l="1"/>
  <c r="N29" i="68" l="1"/>
  <c r="N28" i="68" s="1"/>
  <c r="N91" i="68"/>
  <c r="K91" i="68"/>
  <c r="K94" i="68"/>
  <c r="F91" i="68"/>
  <c r="F94" i="68"/>
  <c r="K31" i="68" l="1"/>
  <c r="K18" i="68" s="1"/>
  <c r="K40" i="68"/>
  <c r="K48" i="68" l="1"/>
  <c r="DX91" i="1" l="1"/>
  <c r="EH91" i="1" l="1"/>
  <c r="J18" i="67" l="1"/>
  <c r="AF37" i="77" l="1"/>
  <c r="D43" i="68" l="1"/>
  <c r="D31" i="77"/>
  <c r="C32" i="68" l="1"/>
  <c r="N32" i="68" s="1"/>
  <c r="D42" i="68"/>
  <c r="N31" i="68" l="1"/>
  <c r="AE82" i="1"/>
  <c r="M30" i="77" s="1"/>
  <c r="N40" i="68" l="1"/>
  <c r="K18" i="67" l="1"/>
  <c r="L18" i="67"/>
  <c r="M18" i="67" l="1"/>
  <c r="O18" i="67" s="1"/>
  <c r="N18" i="67" l="1"/>
  <c r="EY91" i="1" l="1"/>
  <c r="EC91" i="1"/>
  <c r="DZ91" i="1"/>
  <c r="EV91" i="1"/>
  <c r="EE91" i="1"/>
  <c r="AM82" i="1" l="1"/>
  <c r="T30" i="77" s="1"/>
  <c r="AJ82" i="1"/>
  <c r="Q30" i="77" s="1"/>
  <c r="W30" i="77"/>
  <c r="AQ82" i="1"/>
  <c r="CI30" i="77" s="1"/>
  <c r="Z91" i="1" l="1"/>
  <c r="CH91" i="1" l="1"/>
  <c r="AA91" i="1" l="1"/>
  <c r="CL91" i="1"/>
  <c r="H24" i="80" l="1"/>
  <c r="AU79" i="1" l="1"/>
  <c r="J42" i="67" l="1"/>
  <c r="FA91" i="1" l="1"/>
  <c r="EW91" i="1"/>
  <c r="FB91" i="1"/>
  <c r="EU91" i="1"/>
  <c r="ER92" i="1" s="1"/>
  <c r="EI91" i="1"/>
  <c r="EQ91" i="1"/>
  <c r="EJ91" i="1"/>
  <c r="EP91" i="1"/>
  <c r="EO91" i="1"/>
  <c r="EN91" i="1"/>
  <c r="EL91" i="1"/>
  <c r="EM91" i="1"/>
  <c r="EK91" i="1"/>
  <c r="DY91" i="1"/>
  <c r="DH91" i="1"/>
  <c r="DG91" i="1"/>
  <c r="AB37" i="77" l="1"/>
  <c r="K128" i="67" l="1"/>
  <c r="Y91" i="1"/>
  <c r="AM75" i="1"/>
  <c r="T36" i="77" s="1"/>
  <c r="AJ75" i="1"/>
  <c r="Q36" i="77" s="1"/>
  <c r="AE75" i="1"/>
  <c r="M36" i="77" s="1"/>
  <c r="L42" i="67"/>
  <c r="K42" i="67"/>
  <c r="D82" i="1"/>
  <c r="D30" i="77" s="1"/>
  <c r="D41" i="68"/>
  <c r="AM79" i="1"/>
  <c r="AJ79" i="1"/>
  <c r="AQ79" i="1"/>
  <c r="AE79" i="1"/>
  <c r="D131" i="67" l="1"/>
  <c r="K131" i="67"/>
  <c r="M42" i="67"/>
  <c r="N42" i="67" s="1"/>
  <c r="O42" i="67" l="1"/>
  <c r="FN38" i="77" l="1"/>
  <c r="FM38" i="77"/>
  <c r="FL38" i="77"/>
  <c r="FK38" i="77"/>
  <c r="FJ38" i="77"/>
  <c r="FI38" i="77"/>
  <c r="FH38" i="77"/>
  <c r="FG38" i="77"/>
  <c r="FF38" i="77"/>
  <c r="FE38" i="77"/>
  <c r="FD38" i="77"/>
  <c r="FC38" i="77"/>
  <c r="FB38" i="77"/>
  <c r="FA38" i="77"/>
  <c r="EZ38" i="77"/>
  <c r="EY38" i="77"/>
  <c r="EX38" i="77"/>
  <c r="EW38" i="77"/>
  <c r="EV38" i="77"/>
  <c r="EU38" i="77"/>
  <c r="ET38" i="77"/>
  <c r="ES38" i="77"/>
  <c r="ER38" i="77"/>
  <c r="EQ38" i="77"/>
  <c r="EP38" i="77"/>
  <c r="EO38" i="77"/>
  <c r="EN38" i="77"/>
  <c r="EM38" i="77"/>
  <c r="EL38" i="77"/>
  <c r="EK38" i="77"/>
  <c r="EJ38" i="77"/>
  <c r="EI38" i="77"/>
  <c r="EH38" i="77"/>
  <c r="EG38" i="77"/>
  <c r="EF38" i="77"/>
  <c r="EE38" i="77"/>
  <c r="ED38" i="77"/>
  <c r="EC38" i="77"/>
  <c r="EB38" i="77"/>
  <c r="EA38" i="77"/>
  <c r="DZ38" i="77"/>
  <c r="DY38" i="77"/>
  <c r="DX38" i="77"/>
  <c r="DW38" i="77"/>
  <c r="DV38" i="77"/>
  <c r="DU38" i="77"/>
  <c r="DT38" i="77"/>
  <c r="DS38" i="77"/>
  <c r="DR38" i="77"/>
  <c r="DQ38" i="77"/>
  <c r="DP38" i="77"/>
  <c r="DO38" i="77"/>
  <c r="DN38" i="77"/>
  <c r="DM38" i="77"/>
  <c r="DL38" i="77"/>
  <c r="DK38" i="77"/>
  <c r="DJ38" i="77"/>
  <c r="DI38" i="77"/>
  <c r="DH38" i="77"/>
  <c r="DG38" i="77"/>
  <c r="DF38" i="77"/>
  <c r="DE38" i="77"/>
  <c r="DD38" i="77"/>
  <c r="DC38" i="77"/>
  <c r="DB38" i="77"/>
  <c r="DA38" i="77"/>
  <c r="CZ38" i="77"/>
  <c r="CY38" i="77"/>
  <c r="CX38" i="77"/>
  <c r="CW38" i="77"/>
  <c r="CV38" i="77"/>
  <c r="CU38" i="77"/>
  <c r="CT38" i="77"/>
  <c r="CS38" i="77"/>
  <c r="CQ38" i="77"/>
  <c r="CP38" i="77"/>
  <c r="CO38" i="77"/>
  <c r="CN38" i="77"/>
  <c r="CM38" i="77"/>
  <c r="CL38" i="77"/>
  <c r="CK38" i="77"/>
  <c r="CJ38" i="77"/>
  <c r="CH38" i="77"/>
  <c r="CG38" i="77"/>
  <c r="CF38" i="77"/>
  <c r="CE38" i="77"/>
  <c r="CD38" i="77"/>
  <c r="CC38" i="77"/>
  <c r="CB38" i="77"/>
  <c r="CA38" i="77"/>
  <c r="BZ38" i="77"/>
  <c r="BY38" i="77"/>
  <c r="BX38" i="77"/>
  <c r="BW38" i="77"/>
  <c r="BV38" i="77"/>
  <c r="BU38" i="77"/>
  <c r="BT38" i="77"/>
  <c r="BS38" i="77"/>
  <c r="BR38" i="77"/>
  <c r="BQ38" i="77"/>
  <c r="BP38" i="77"/>
  <c r="BO38" i="77"/>
  <c r="BN38" i="77"/>
  <c r="BM38" i="77"/>
  <c r="BL38" i="77"/>
  <c r="BK38" i="77"/>
  <c r="BJ38" i="77"/>
  <c r="BI38" i="77"/>
  <c r="BH38" i="77"/>
  <c r="BG38" i="77"/>
  <c r="BF38" i="77"/>
  <c r="BE38" i="77"/>
  <c r="BD38" i="77"/>
  <c r="BC38" i="77"/>
  <c r="BB38" i="77"/>
  <c r="BA38" i="77"/>
  <c r="AZ38" i="77"/>
  <c r="AY38" i="77"/>
  <c r="AX38" i="77"/>
  <c r="AW38" i="77"/>
  <c r="AV38" i="77"/>
  <c r="AU38" i="77"/>
  <c r="AT38" i="77"/>
  <c r="AS38" i="77"/>
  <c r="AR38" i="77"/>
  <c r="AQ38" i="77"/>
  <c r="AP38" i="77"/>
  <c r="AO38" i="77"/>
  <c r="AN38" i="77"/>
  <c r="AM38" i="77"/>
  <c r="AL38" i="77"/>
  <c r="AK38" i="77"/>
  <c r="AH38" i="77"/>
  <c r="AG38" i="77"/>
  <c r="AE38" i="77"/>
  <c r="AD38" i="77"/>
  <c r="AC38" i="77"/>
  <c r="Z38" i="77"/>
  <c r="X38" i="77"/>
  <c r="V38" i="77"/>
  <c r="S38" i="77"/>
  <c r="O38" i="77"/>
  <c r="N38" i="77"/>
  <c r="K38" i="77"/>
  <c r="J38" i="77"/>
  <c r="I38" i="77"/>
  <c r="H38" i="77"/>
  <c r="G38" i="77"/>
  <c r="F38" i="77"/>
  <c r="D41" i="80"/>
  <c r="I41" i="80" s="1"/>
  <c r="D40" i="80"/>
  <c r="I40" i="80" s="1"/>
  <c r="H40" i="80" s="1"/>
  <c r="G39" i="80"/>
  <c r="AI37" i="77" s="1"/>
  <c r="D39" i="80"/>
  <c r="D36" i="80"/>
  <c r="I36" i="80" s="1"/>
  <c r="H36" i="80" s="1"/>
  <c r="D34" i="80"/>
  <c r="I34" i="80" s="1"/>
  <c r="H34" i="80" s="1"/>
  <c r="D38" i="80" l="1"/>
  <c r="I38" i="80" s="1"/>
  <c r="H38" i="80" s="1"/>
  <c r="H41" i="80"/>
  <c r="H44" i="80" s="1"/>
  <c r="I44" i="80"/>
  <c r="J40" i="80"/>
  <c r="J39" i="80"/>
  <c r="G35" i="80"/>
  <c r="G37" i="80"/>
  <c r="C37" i="77" l="1"/>
  <c r="C16" i="68"/>
  <c r="N16" i="68" s="1"/>
  <c r="D79" i="1" l="1"/>
  <c r="D37" i="77" s="1"/>
  <c r="D16" i="68" l="1"/>
  <c r="J16" i="67"/>
  <c r="C8" i="81" l="1"/>
  <c r="E8" i="81"/>
  <c r="F8" i="81" l="1"/>
  <c r="I25" i="80" l="1"/>
  <c r="H25" i="80" s="1"/>
  <c r="H23" i="80"/>
  <c r="H22" i="80"/>
  <c r="G22" i="80"/>
  <c r="CB75" i="1" s="1"/>
  <c r="CB96" i="1" s="1"/>
  <c r="H21" i="80"/>
  <c r="G21" i="80"/>
  <c r="CA75" i="1" s="1"/>
  <c r="G13" i="80"/>
  <c r="AI36" i="77" s="1"/>
  <c r="D13" i="80"/>
  <c r="G9" i="80"/>
  <c r="W36" i="77" l="1"/>
  <c r="AS75" i="1"/>
  <c r="K13" i="80"/>
  <c r="I12" i="80"/>
  <c r="H12" i="80" s="1"/>
  <c r="CR36" i="77"/>
  <c r="CA96" i="1"/>
  <c r="AI38" i="77"/>
  <c r="D12" i="80"/>
  <c r="H19" i="80"/>
  <c r="H17" i="80"/>
  <c r="H10" i="80"/>
  <c r="H8" i="80" l="1"/>
  <c r="D78" i="1" l="1"/>
  <c r="C15" i="68"/>
  <c r="D15" i="68" s="1"/>
  <c r="AQ75" i="1" l="1"/>
  <c r="CI36" i="77" s="1"/>
  <c r="U38" i="77"/>
  <c r="AC91" i="1"/>
  <c r="F8" i="76" l="1"/>
  <c r="F12" i="76" s="1"/>
  <c r="F16" i="76" s="1"/>
  <c r="F20" i="76" s="1"/>
  <c r="I18" i="76" l="1"/>
  <c r="I17" i="76"/>
  <c r="I15" i="76"/>
  <c r="I14" i="76"/>
  <c r="I13" i="76"/>
  <c r="I11" i="76"/>
  <c r="I10" i="76"/>
  <c r="I9" i="76"/>
  <c r="I7" i="76"/>
  <c r="I6" i="76"/>
  <c r="I5" i="76"/>
  <c r="V19" i="76" l="1"/>
  <c r="AK19" i="76" s="1"/>
  <c r="V14" i="76"/>
  <c r="AK14" i="76" s="1"/>
  <c r="V17" i="76"/>
  <c r="AK17" i="76" s="1"/>
  <c r="V15" i="76"/>
  <c r="AK15" i="76" s="1"/>
  <c r="V11" i="76"/>
  <c r="AK11" i="76" s="1"/>
  <c r="V18" i="76"/>
  <c r="AK18" i="76" s="1"/>
  <c r="V13" i="76"/>
  <c r="AK13" i="76" s="1"/>
  <c r="V9" i="76"/>
  <c r="AK9" i="76" s="1"/>
  <c r="V10" i="76"/>
  <c r="AK10" i="76" s="1"/>
  <c r="V7" i="76"/>
  <c r="AK7" i="76" s="1"/>
  <c r="V6" i="76"/>
  <c r="AK6" i="76" s="1"/>
  <c r="H8" i="76"/>
  <c r="H12" i="76" s="1"/>
  <c r="V5" i="76"/>
  <c r="AK5" i="76" s="1"/>
  <c r="J31" i="80" l="1"/>
  <c r="H16" i="76"/>
  <c r="H20" i="76" s="1"/>
  <c r="V8" i="76"/>
  <c r="I8" i="76" s="1"/>
  <c r="V12" i="76" l="1"/>
  <c r="V16" i="76" s="1"/>
  <c r="V20" i="76" s="1"/>
  <c r="I20" i="76" s="1"/>
  <c r="AK8" i="76"/>
  <c r="AM8" i="76" s="1"/>
  <c r="AN8" i="76" s="1"/>
  <c r="I12" i="76" l="1"/>
  <c r="I16" i="76"/>
  <c r="W8" i="76"/>
  <c r="AM7" i="76"/>
  <c r="AL7" i="76" s="1"/>
  <c r="AM6" i="76"/>
  <c r="AM5" i="76"/>
  <c r="AK12" i="76"/>
  <c r="AM12" i="76" s="1"/>
  <c r="AN12" i="76" s="1"/>
  <c r="AM10" i="76" l="1"/>
  <c r="AN7" i="76"/>
  <c r="AM11" i="76"/>
  <c r="AN11" i="76" s="1"/>
  <c r="AK16" i="76"/>
  <c r="AK20" i="76" s="1"/>
  <c r="W20" i="76" s="1"/>
  <c r="AL5" i="76"/>
  <c r="AN6" i="76"/>
  <c r="AN5" i="76"/>
  <c r="AM9" i="76"/>
  <c r="W12" i="76"/>
  <c r="AL6" i="76"/>
  <c r="AL9" i="76" l="1"/>
  <c r="AM16" i="76"/>
  <c r="AN16" i="76" s="1"/>
  <c r="AL11" i="76"/>
  <c r="AL10" i="76"/>
  <c r="AN10" i="76"/>
  <c r="AM20" i="76"/>
  <c r="W16" i="76"/>
  <c r="AN9" i="76"/>
  <c r="AM14" i="76" l="1"/>
  <c r="AN14" i="76" s="1"/>
  <c r="AM19" i="76"/>
  <c r="AL19" i="76" s="1"/>
  <c r="AM13" i="76"/>
  <c r="AN13" i="76" s="1"/>
  <c r="AM15" i="76"/>
  <c r="AM18" i="76"/>
  <c r="AN20" i="76"/>
  <c r="AL14" i="76"/>
  <c r="AM17" i="76"/>
  <c r="AN17" i="76" l="1"/>
  <c r="AN15" i="76"/>
  <c r="AN19" i="76"/>
  <c r="AL13" i="76"/>
  <c r="AL15" i="76"/>
  <c r="AN18" i="76"/>
  <c r="AL18" i="76"/>
  <c r="AL17" i="76"/>
  <c r="D18" i="1" l="1"/>
  <c r="D15" i="77" s="1"/>
  <c r="L38" i="77"/>
  <c r="CI38" i="77"/>
  <c r="T38" i="77"/>
  <c r="Q38" i="77"/>
  <c r="M38" i="77"/>
  <c r="R38" i="77"/>
  <c r="P38" i="77"/>
  <c r="D15" i="1" l="1"/>
  <c r="D26" i="68"/>
  <c r="D24" i="68" s="1"/>
  <c r="D18" i="68" s="1"/>
  <c r="AA38" i="77" l="1"/>
  <c r="K16" i="67"/>
  <c r="C31" i="68" l="1"/>
  <c r="C40" i="68" l="1"/>
  <c r="D40" i="68"/>
  <c r="D32" i="68"/>
  <c r="D31" i="68" s="1"/>
  <c r="C8" i="72" l="1"/>
  <c r="C12" i="72" s="1"/>
  <c r="C16" i="72" s="1"/>
  <c r="C20" i="72" l="1"/>
  <c r="S19" i="72"/>
  <c r="S18" i="72"/>
  <c r="S17" i="72"/>
  <c r="S15" i="72"/>
  <c r="S14" i="72"/>
  <c r="Q19" i="72"/>
  <c r="D18" i="72"/>
  <c r="D17" i="72"/>
  <c r="D15" i="72"/>
  <c r="D14" i="72"/>
  <c r="D13" i="72"/>
  <c r="D11" i="72"/>
  <c r="D10" i="72"/>
  <c r="D9" i="72"/>
  <c r="D7" i="72"/>
  <c r="D6" i="72"/>
  <c r="D5" i="72"/>
  <c r="Q18" i="72" l="1"/>
  <c r="AF18" i="72" s="1"/>
  <c r="S23" i="72"/>
  <c r="Q17" i="72"/>
  <c r="AF17" i="72" s="1"/>
  <c r="Q13" i="72"/>
  <c r="AF13" i="72" s="1"/>
  <c r="Q15" i="72"/>
  <c r="AF15" i="72" s="1"/>
  <c r="Q14" i="72"/>
  <c r="AF14" i="72" s="1"/>
  <c r="Q5" i="72"/>
  <c r="AF5" i="72" s="1"/>
  <c r="Q7" i="72"/>
  <c r="AF7" i="72" s="1"/>
  <c r="Q10" i="72"/>
  <c r="AF10" i="72" s="1"/>
  <c r="Q6" i="72"/>
  <c r="AF6" i="72" s="1"/>
  <c r="Q9" i="72"/>
  <c r="AF9" i="72" s="1"/>
  <c r="Q11" i="72"/>
  <c r="AF11" i="72" s="1"/>
  <c r="AF19" i="72"/>
  <c r="D93" i="1" l="1"/>
  <c r="C93" i="1" s="1"/>
  <c r="Q8" i="72"/>
  <c r="D8" i="72" s="1"/>
  <c r="H16" i="67"/>
  <c r="L16" i="67"/>
  <c r="H55" i="67" l="1"/>
  <c r="M55" i="67" s="1"/>
  <c r="H98" i="67"/>
  <c r="M98" i="67" s="1"/>
  <c r="Q12" i="72"/>
  <c r="Q16" i="72" s="1"/>
  <c r="AF8" i="72"/>
  <c r="R8" i="72" s="1"/>
  <c r="M16" i="67"/>
  <c r="O16" i="67" s="1"/>
  <c r="N98" i="67" l="1"/>
  <c r="O98" i="67"/>
  <c r="O55" i="67"/>
  <c r="N55" i="67"/>
  <c r="D12" i="72"/>
  <c r="AF12" i="72"/>
  <c r="R12" i="72" s="1"/>
  <c r="AH8" i="72"/>
  <c r="AH6" i="72" s="1"/>
  <c r="N16" i="67"/>
  <c r="D16" i="72"/>
  <c r="Q20" i="72"/>
  <c r="D20" i="72" s="1"/>
  <c r="AI6" i="72" l="1"/>
  <c r="AI8" i="72"/>
  <c r="AH5" i="72"/>
  <c r="AH7" i="72"/>
  <c r="AF16" i="72"/>
  <c r="R16" i="72" s="1"/>
  <c r="AI7" i="72"/>
  <c r="AG6" i="72"/>
  <c r="AH12" i="72"/>
  <c r="AH9" i="72" s="1"/>
  <c r="AI9" i="72" l="1"/>
  <c r="AG7" i="72"/>
  <c r="AI5" i="72"/>
  <c r="AG5" i="72"/>
  <c r="AF20" i="72"/>
  <c r="AH20" i="72" s="1"/>
  <c r="AI20" i="72" s="1"/>
  <c r="AH16" i="72"/>
  <c r="AI16" i="72" s="1"/>
  <c r="AI12" i="72"/>
  <c r="AH11" i="72"/>
  <c r="AH10" i="72"/>
  <c r="AG9" i="72"/>
  <c r="AH14" i="72" l="1"/>
  <c r="AG14" i="72" s="1"/>
  <c r="AH13" i="72"/>
  <c r="AH17" i="72"/>
  <c r="AH19" i="72"/>
  <c r="AI19" i="72" s="1"/>
  <c r="R20" i="72"/>
  <c r="AH18" i="72"/>
  <c r="AH15" i="72"/>
  <c r="AG10" i="72"/>
  <c r="AI10" i="72"/>
  <c r="AI11" i="72"/>
  <c r="AG11" i="72"/>
  <c r="AI13" i="72" l="1"/>
  <c r="AI14" i="72"/>
  <c r="AI17" i="72"/>
  <c r="AG13" i="72"/>
  <c r="AG18" i="72"/>
  <c r="AG19" i="72"/>
  <c r="AG17" i="72"/>
  <c r="AI18" i="72"/>
  <c r="AG15" i="72"/>
  <c r="AI15" i="72"/>
  <c r="C32" i="80" l="1"/>
  <c r="W38" i="77" l="1"/>
  <c r="BD91" i="1"/>
  <c r="BG91" i="1" l="1"/>
  <c r="D25" i="1"/>
  <c r="D22" i="77" s="1"/>
  <c r="E38" i="77" l="1"/>
  <c r="D88" i="67"/>
  <c r="D13" i="77" l="1"/>
  <c r="D12" i="77" s="1"/>
  <c r="K13" i="67" l="1"/>
  <c r="BP91" i="1"/>
  <c r="BO91" i="1"/>
  <c r="BN91" i="1"/>
  <c r="BM91" i="1"/>
  <c r="L13" i="67" l="1"/>
  <c r="M13" i="67" l="1"/>
  <c r="AO70" i="1"/>
  <c r="A13" i="69"/>
  <c r="C13" i="69"/>
  <c r="D13" i="69" l="1"/>
  <c r="F13" i="69"/>
  <c r="E13" i="69"/>
  <c r="AO91" i="1"/>
  <c r="K15" i="67" l="1"/>
  <c r="O15" i="67" s="1"/>
  <c r="V91" i="1" l="1"/>
  <c r="U91" i="1"/>
  <c r="T91" i="1"/>
  <c r="S91" i="1"/>
  <c r="CN91" i="1" l="1"/>
  <c r="CQ91" i="1"/>
  <c r="CP91" i="1"/>
  <c r="JI91" i="1"/>
  <c r="JH91" i="1"/>
  <c r="JG91" i="1"/>
  <c r="JF91" i="1"/>
  <c r="JE91" i="1"/>
  <c r="JD91" i="1"/>
  <c r="JC91" i="1"/>
  <c r="JB91" i="1"/>
  <c r="JA91" i="1"/>
  <c r="IZ91" i="1"/>
  <c r="IY91" i="1"/>
  <c r="IX91" i="1"/>
  <c r="IW91" i="1"/>
  <c r="IV91" i="1"/>
  <c r="IU91" i="1"/>
  <c r="IT91" i="1"/>
  <c r="IS91" i="1"/>
  <c r="IR91" i="1"/>
  <c r="IQ91" i="1"/>
  <c r="IP91" i="1"/>
  <c r="IO91" i="1"/>
  <c r="IN91" i="1"/>
  <c r="IM91" i="1"/>
  <c r="IL91" i="1"/>
  <c r="IK91" i="1"/>
  <c r="IJ91" i="1"/>
  <c r="II91" i="1"/>
  <c r="IH91" i="1"/>
  <c r="IG91" i="1"/>
  <c r="IF91" i="1"/>
  <c r="IE91" i="1"/>
  <c r="ID91" i="1"/>
  <c r="IC91" i="1"/>
  <c r="IB91" i="1"/>
  <c r="IA91" i="1"/>
  <c r="HZ91" i="1"/>
  <c r="HY91" i="1"/>
  <c r="HX91" i="1"/>
  <c r="HW91" i="1"/>
  <c r="HV91" i="1"/>
  <c r="HU91" i="1"/>
  <c r="HT91" i="1"/>
  <c r="HS91" i="1"/>
  <c r="HR91" i="1"/>
  <c r="HQ91" i="1"/>
  <c r="HP91" i="1"/>
  <c r="HO91" i="1"/>
  <c r="HN91" i="1"/>
  <c r="HM91" i="1"/>
  <c r="HL91" i="1"/>
  <c r="HK91" i="1"/>
  <c r="HJ91" i="1"/>
  <c r="HI91" i="1"/>
  <c r="HH91" i="1"/>
  <c r="HG91" i="1"/>
  <c r="HF91" i="1"/>
  <c r="HE91" i="1"/>
  <c r="HD91" i="1"/>
  <c r="HC91" i="1"/>
  <c r="HB91" i="1"/>
  <c r="HA91" i="1"/>
  <c r="GZ91" i="1"/>
  <c r="GY91" i="1"/>
  <c r="GX91" i="1"/>
  <c r="GW91" i="1"/>
  <c r="GV91" i="1"/>
  <c r="GU91" i="1"/>
  <c r="GT91" i="1"/>
  <c r="GS91" i="1"/>
  <c r="GR91" i="1"/>
  <c r="GQ91" i="1"/>
  <c r="GP91" i="1"/>
  <c r="GO91" i="1"/>
  <c r="GN91" i="1"/>
  <c r="GL91" i="1"/>
  <c r="GJ91" i="1"/>
  <c r="GI91" i="1"/>
  <c r="GH91" i="1"/>
  <c r="GG91" i="1"/>
  <c r="GF91" i="1"/>
  <c r="GE91" i="1"/>
  <c r="GD91" i="1"/>
  <c r="GC91" i="1"/>
  <c r="GB91" i="1"/>
  <c r="GA91" i="1"/>
  <c r="FZ91" i="1"/>
  <c r="FY91" i="1"/>
  <c r="FX91" i="1"/>
  <c r="FW91" i="1"/>
  <c r="FV91" i="1"/>
  <c r="FU91" i="1"/>
  <c r="FT91" i="1"/>
  <c r="FS91" i="1"/>
  <c r="FR91" i="1"/>
  <c r="FQ91" i="1"/>
  <c r="FP91" i="1"/>
  <c r="FO91" i="1"/>
  <c r="FN91" i="1"/>
  <c r="FM91" i="1"/>
  <c r="FL91" i="1"/>
  <c r="FK91" i="1"/>
  <c r="FH91" i="1"/>
  <c r="FG91" i="1"/>
  <c r="FF91" i="1"/>
  <c r="FE91" i="1"/>
  <c r="FD91" i="1"/>
  <c r="FC91" i="1"/>
  <c r="ED91" i="1"/>
  <c r="DW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E91" i="1"/>
  <c r="CY91" i="1"/>
  <c r="CX91" i="1"/>
  <c r="CW91" i="1"/>
  <c r="CV91" i="1"/>
  <c r="CU91" i="1"/>
  <c r="CT91" i="1"/>
  <c r="CS91" i="1"/>
  <c r="CR91" i="1"/>
  <c r="CO91" i="1"/>
  <c r="CM91" i="1"/>
  <c r="CK91" i="1"/>
  <c r="CJ91" i="1"/>
  <c r="CI91" i="1"/>
  <c r="CG91" i="1"/>
  <c r="CF91" i="1"/>
  <c r="AP91" i="1"/>
  <c r="CI92" i="1" l="1"/>
  <c r="DW92" i="1"/>
  <c r="L14" i="67"/>
  <c r="O14" i="67" s="1"/>
  <c r="AI91" i="1"/>
  <c r="BB91" i="1"/>
  <c r="N14" i="67" l="1"/>
  <c r="O13" i="67" l="1"/>
  <c r="L12" i="67"/>
  <c r="N12" i="67" s="1"/>
  <c r="N13" i="67"/>
  <c r="O12" i="67" l="1"/>
  <c r="JS91" i="1"/>
  <c r="JR91" i="1"/>
  <c r="JQ91" i="1"/>
  <c r="JP91" i="1"/>
  <c r="JO91" i="1"/>
  <c r="JN91" i="1"/>
  <c r="JK91" i="1"/>
  <c r="JJ91" i="1"/>
  <c r="CE91" i="1"/>
  <c r="CD91" i="1"/>
  <c r="CB91" i="1"/>
  <c r="CA91" i="1"/>
  <c r="BT91" i="1"/>
  <c r="BS91" i="1"/>
  <c r="BR91" i="1"/>
  <c r="BQ91" i="1"/>
  <c r="BL91" i="1"/>
  <c r="BK91" i="1"/>
  <c r="BJ91" i="1"/>
  <c r="BI91" i="1"/>
  <c r="BH91" i="1"/>
  <c r="C11" i="84" s="1"/>
  <c r="D11" i="84" s="1"/>
  <c r="E11" i="84" s="1"/>
  <c r="BF91" i="1"/>
  <c r="BC91" i="1"/>
  <c r="AX91" i="1"/>
  <c r="AW91" i="1"/>
  <c r="AU91" i="1"/>
  <c r="AS91" i="1"/>
  <c r="AR91" i="1"/>
  <c r="AL91" i="1"/>
  <c r="AD91" i="1"/>
  <c r="AB91" i="1"/>
  <c r="X91" i="1"/>
  <c r="R91" i="1"/>
  <c r="Q91" i="1"/>
  <c r="P91" i="1"/>
  <c r="O91" i="1"/>
  <c r="N91" i="1"/>
  <c r="M91" i="1"/>
  <c r="L91" i="1"/>
  <c r="K91" i="1"/>
  <c r="J91" i="1"/>
  <c r="I91" i="1"/>
  <c r="H91" i="1"/>
  <c r="G91" i="1"/>
  <c r="AM72" i="1"/>
  <c r="AJ72" i="1"/>
  <c r="AE72" i="1"/>
  <c r="D71" i="1"/>
  <c r="AQ70" i="1"/>
  <c r="AQ91" i="1" s="1"/>
  <c r="AN70" i="1"/>
  <c r="AM70" i="1"/>
  <c r="AJ70" i="1"/>
  <c r="AF70" i="1"/>
  <c r="AE70" i="1"/>
  <c r="AM69" i="1"/>
  <c r="AJ69" i="1"/>
  <c r="AE69" i="1"/>
  <c r="AN68" i="1"/>
  <c r="AM68" i="1"/>
  <c r="AK68" i="1"/>
  <c r="AJ68" i="1"/>
  <c r="AE68" i="1"/>
  <c r="AM67" i="1"/>
  <c r="AE67" i="1"/>
  <c r="D66" i="1"/>
  <c r="D65" i="1"/>
  <c r="AM64" i="1"/>
  <c r="AJ64" i="1"/>
  <c r="AE64" i="1"/>
  <c r="AN63" i="1"/>
  <c r="AM63" i="1"/>
  <c r="AK63" i="1"/>
  <c r="AJ63" i="1"/>
  <c r="AE63" i="1"/>
  <c r="D62" i="1"/>
  <c r="AN61" i="1"/>
  <c r="AM61" i="1"/>
  <c r="AK61" i="1"/>
  <c r="AJ61" i="1"/>
  <c r="AE61" i="1"/>
  <c r="AM60" i="1"/>
  <c r="AE60" i="1"/>
  <c r="AM59" i="1"/>
  <c r="AJ59" i="1"/>
  <c r="AE59" i="1"/>
  <c r="D58" i="1"/>
  <c r="AM57" i="1"/>
  <c r="AJ57" i="1"/>
  <c r="AE57" i="1"/>
  <c r="D56" i="1"/>
  <c r="AN54" i="1"/>
  <c r="AM54" i="1"/>
  <c r="AK54" i="1"/>
  <c r="AJ54" i="1"/>
  <c r="AE54" i="1"/>
  <c r="AM53" i="1"/>
  <c r="AJ53" i="1"/>
  <c r="AE53" i="1"/>
  <c r="D52" i="1"/>
  <c r="AM51" i="1"/>
  <c r="AJ51" i="1"/>
  <c r="AE51" i="1"/>
  <c r="D50" i="1"/>
  <c r="AM49" i="1"/>
  <c r="AJ49" i="1"/>
  <c r="AE49" i="1"/>
  <c r="AN48" i="1"/>
  <c r="AM48" i="1"/>
  <c r="AK48" i="1"/>
  <c r="AJ48" i="1"/>
  <c r="AE48" i="1"/>
  <c r="D47" i="1"/>
  <c r="AN46" i="1"/>
  <c r="AM46" i="1"/>
  <c r="AK46" i="1"/>
  <c r="AJ46" i="1"/>
  <c r="AE46" i="1"/>
  <c r="AM45" i="1"/>
  <c r="AE45" i="1"/>
  <c r="AM44" i="1"/>
  <c r="AJ44" i="1"/>
  <c r="AE44" i="1"/>
  <c r="D43" i="1"/>
  <c r="AN42" i="1"/>
  <c r="AM42" i="1"/>
  <c r="AG42" i="1"/>
  <c r="AG91" i="1" s="1"/>
  <c r="AF42" i="1"/>
  <c r="AF91" i="1" s="1"/>
  <c r="AE42" i="1"/>
  <c r="AN41" i="1"/>
  <c r="AM41" i="1"/>
  <c r="AJ41" i="1"/>
  <c r="AE41" i="1"/>
  <c r="AN40" i="1"/>
  <c r="AM40" i="1"/>
  <c r="AK40" i="1"/>
  <c r="AJ40" i="1"/>
  <c r="AE40" i="1"/>
  <c r="AM39" i="1"/>
  <c r="AJ39" i="1"/>
  <c r="AE39" i="1"/>
  <c r="D38" i="1"/>
  <c r="AM37" i="1"/>
  <c r="AJ37" i="1"/>
  <c r="AE37" i="1"/>
  <c r="AM36" i="1"/>
  <c r="AK36" i="1"/>
  <c r="AJ36" i="1"/>
  <c r="AE36" i="1"/>
  <c r="AM35" i="1"/>
  <c r="AE35" i="1"/>
  <c r="D35" i="1"/>
  <c r="AM34" i="1"/>
  <c r="AJ34" i="1"/>
  <c r="AE34" i="1"/>
  <c r="AM33" i="1"/>
  <c r="AK33" i="1"/>
  <c r="AJ33" i="1"/>
  <c r="AE33" i="1"/>
  <c r="D32" i="1"/>
  <c r="F91" i="1"/>
  <c r="C6" i="84" l="1"/>
  <c r="D6" i="84" s="1"/>
  <c r="E6" i="84" s="1"/>
  <c r="B88" i="67"/>
  <c r="C12" i="84"/>
  <c r="D12" i="84" s="1"/>
  <c r="E12" i="84" s="1"/>
  <c r="X92" i="1"/>
  <c r="BK95" i="1"/>
  <c r="AN91" i="1"/>
  <c r="AE91" i="1"/>
  <c r="CA92" i="1"/>
  <c r="G92" i="1"/>
  <c r="J85" i="67" l="1"/>
  <c r="J128" i="67"/>
  <c r="B131" i="67"/>
  <c r="C98" i="68"/>
  <c r="C101" i="68"/>
  <c r="C100" i="68"/>
  <c r="C103" i="68"/>
  <c r="C104" i="68"/>
  <c r="C102" i="68"/>
  <c r="C106" i="68"/>
  <c r="C105" i="68"/>
  <c r="C99" i="68"/>
  <c r="K88" i="67"/>
  <c r="J47" i="67"/>
  <c r="A11" i="67"/>
  <c r="M11" i="67"/>
  <c r="K11" i="67"/>
  <c r="L11" i="67"/>
  <c r="J131" i="67" l="1"/>
  <c r="J88" i="67"/>
  <c r="N11" i="67"/>
  <c r="O11" i="67" s="1"/>
  <c r="J10" i="67"/>
  <c r="J9" i="67"/>
  <c r="L10" i="67"/>
  <c r="L9" i="67"/>
  <c r="H10" i="67"/>
  <c r="M10" i="67" s="1"/>
  <c r="M9" i="67"/>
  <c r="K10" i="67"/>
  <c r="K9" i="67"/>
  <c r="L48" i="67"/>
  <c r="K48" i="67"/>
  <c r="J48" i="67"/>
  <c r="K47" i="67"/>
  <c r="L47" i="67"/>
  <c r="K46" i="67"/>
  <c r="J46" i="67"/>
  <c r="D49" i="67"/>
  <c r="B49" i="67"/>
  <c r="K8" i="67"/>
  <c r="J8" i="67"/>
  <c r="L8" i="67"/>
  <c r="M7" i="67"/>
  <c r="L7" i="67"/>
  <c r="K7" i="67"/>
  <c r="J7" i="67"/>
  <c r="M6" i="67"/>
  <c r="L6" i="67"/>
  <c r="K6" i="67"/>
  <c r="J6" i="67"/>
  <c r="H8" i="67"/>
  <c r="M8" i="67" s="1"/>
  <c r="M47" i="67"/>
  <c r="N9" i="67" l="1"/>
  <c r="O9" i="67" s="1"/>
  <c r="N6" i="67"/>
  <c r="O6" i="67" s="1"/>
  <c r="N8" i="67"/>
  <c r="N7" i="67"/>
  <c r="O7" i="67" s="1"/>
  <c r="O8" i="67"/>
  <c r="K49" i="67"/>
  <c r="N47" i="67"/>
  <c r="O47" i="67" s="1"/>
  <c r="N10" i="67"/>
  <c r="O10" i="67" s="1"/>
  <c r="J49" i="67"/>
  <c r="D91" i="68" l="1"/>
  <c r="AH91" i="1" l="1"/>
  <c r="AJ91" i="1"/>
  <c r="AK91" i="1"/>
  <c r="AM91" i="1"/>
  <c r="C17" i="84" l="1"/>
  <c r="D17" i="84" s="1"/>
  <c r="E17" i="84" s="1"/>
  <c r="H48" i="67"/>
  <c r="H87" i="67" s="1"/>
  <c r="C18" i="84"/>
  <c r="D18" i="84" s="1"/>
  <c r="E18" i="84" s="1"/>
  <c r="C16" i="84"/>
  <c r="D16" i="84" s="1"/>
  <c r="AF92" i="1"/>
  <c r="H130" i="67" l="1"/>
  <c r="M87" i="67"/>
  <c r="N87" i="67" s="1"/>
  <c r="O87" i="67" s="1"/>
  <c r="C15" i="84"/>
  <c r="D15" i="84"/>
  <c r="E16" i="84"/>
  <c r="E15" i="84" s="1"/>
  <c r="M48" i="67"/>
  <c r="N48" i="67" l="1"/>
  <c r="M130" i="67" l="1"/>
  <c r="O48" i="67"/>
  <c r="N130" i="67" l="1"/>
  <c r="O130" i="67" l="1"/>
  <c r="L18" i="68" l="1"/>
  <c r="BV91" i="1" l="1"/>
  <c r="D29" i="1" l="1"/>
  <c r="D25" i="77" s="1"/>
  <c r="C36" i="68"/>
  <c r="N36" i="68" l="1"/>
  <c r="N18" i="68"/>
  <c r="D36" i="68"/>
  <c r="AJ38" i="77" l="1"/>
  <c r="AZ91" i="1"/>
  <c r="C9" i="84" s="1"/>
  <c r="D9" i="84" s="1"/>
  <c r="E9" i="84" s="1"/>
  <c r="BY91" i="1"/>
  <c r="AF38" i="77"/>
  <c r="AV91" i="1"/>
  <c r="C7" i="84" l="1"/>
  <c r="D7" i="84" l="1"/>
  <c r="E7" i="84" l="1"/>
  <c r="BU91" i="1" l="1"/>
  <c r="AY97" i="1" l="1"/>
  <c r="Y38" i="77" l="1"/>
  <c r="AY91" i="1"/>
  <c r="C8" i="84" l="1"/>
  <c r="BZ91" i="1" l="1"/>
  <c r="BV92" i="1" s="1"/>
  <c r="CR38" i="77"/>
  <c r="D8" i="84"/>
  <c r="E8" i="84" l="1"/>
  <c r="D31" i="1" l="1"/>
  <c r="D27" i="77" s="1"/>
  <c r="C37" i="68"/>
  <c r="C35" i="68" s="1"/>
  <c r="D37" i="68" l="1"/>
  <c r="L37" i="68"/>
  <c r="L34" i="68" s="1"/>
  <c r="L48" i="68" s="1"/>
  <c r="K49" i="68" s="1"/>
  <c r="C34" i="68"/>
  <c r="D34" i="68" l="1"/>
  <c r="D35" i="68"/>
  <c r="N37" i="68"/>
  <c r="N34" i="68" s="1"/>
  <c r="AB38" i="77" l="1"/>
  <c r="BE91" i="1"/>
  <c r="C10" i="84" l="1"/>
  <c r="D10" i="84" s="1"/>
  <c r="AU92" i="1"/>
  <c r="I26" i="80"/>
  <c r="I31" i="80" s="1"/>
  <c r="C75" i="1" s="1"/>
  <c r="C36" i="77" s="1"/>
  <c r="C38" i="77" s="1"/>
  <c r="H18" i="80"/>
  <c r="H26" i="80" s="1"/>
  <c r="H31" i="80" s="1"/>
  <c r="C5" i="84"/>
  <c r="C21" i="84" s="1"/>
  <c r="F88" i="67"/>
  <c r="L85" i="67"/>
  <c r="H46" i="67"/>
  <c r="F49" i="67"/>
  <c r="L46" i="67"/>
  <c r="H128" i="67" l="1"/>
  <c r="H85" i="67"/>
  <c r="F131" i="67"/>
  <c r="L128" i="67"/>
  <c r="L88" i="67"/>
  <c r="E10" i="84"/>
  <c r="E5" i="84" s="1"/>
  <c r="E21" i="84" s="1"/>
  <c r="D5" i="84"/>
  <c r="D21" i="84" s="1"/>
  <c r="L49" i="67"/>
  <c r="H49" i="67"/>
  <c r="M46" i="67"/>
  <c r="M49" i="67" s="1"/>
  <c r="C91" i="1"/>
  <c r="C12" i="68"/>
  <c r="C48" i="68" s="1"/>
  <c r="D75" i="1"/>
  <c r="D36" i="77" s="1"/>
  <c r="D38" i="77" s="1"/>
  <c r="O46" i="67" l="1"/>
  <c r="O49" i="67" s="1"/>
  <c r="O137" i="67" s="1"/>
  <c r="L131" i="67"/>
  <c r="D91" i="1"/>
  <c r="D94" i="1" s="1"/>
  <c r="N12" i="68"/>
  <c r="D12" i="68"/>
  <c r="D48" i="68" s="1"/>
  <c r="H88" i="67"/>
  <c r="M85" i="67"/>
  <c r="N46" i="67"/>
  <c r="N49" i="67" s="1"/>
  <c r="M88" i="67" l="1"/>
  <c r="O85" i="67"/>
  <c r="O88" i="67" s="1"/>
  <c r="N85" i="67"/>
  <c r="N88" i="67" s="1"/>
  <c r="D94" i="68"/>
  <c r="H131" i="67"/>
  <c r="M128" i="67"/>
  <c r="N94" i="68"/>
  <c r="N48" i="68"/>
  <c r="M131" i="67" l="1"/>
  <c r="N128" i="67"/>
  <c r="N131" i="67" s="1"/>
  <c r="O128" i="67"/>
  <c r="O131" i="67" s="1"/>
  <c r="O135" i="67" s="1"/>
  <c r="O140" i="67" s="1"/>
</calcChain>
</file>

<file path=xl/sharedStrings.xml><?xml version="1.0" encoding="utf-8"?>
<sst xmlns="http://schemas.openxmlformats.org/spreadsheetml/2006/main" count="1407" uniqueCount="871">
  <si>
    <t>ремонт а/бет покрытия</t>
  </si>
  <si>
    <t xml:space="preserve"> пов.    обр. эмульсия</t>
  </si>
  <si>
    <t>щебень 20-40, м3</t>
  </si>
  <si>
    <t>Изопласт м2</t>
  </si>
  <si>
    <t>Наименование объектов</t>
  </si>
  <si>
    <t>в т.ч.</t>
  </si>
  <si>
    <t>Эмульсия на розлив (тонн)</t>
  </si>
  <si>
    <t>Мазут (тонн)</t>
  </si>
  <si>
    <t>Мет. барьерное ограждение, п.м.</t>
  </si>
  <si>
    <t>Перильное ограждение м.п.</t>
  </si>
  <si>
    <t>БР 100.20.8 (шт)</t>
  </si>
  <si>
    <t>Сигнальные столбики (шт)</t>
  </si>
  <si>
    <t>Стойки дор. знаков (метал.) (шт)</t>
  </si>
  <si>
    <t>Лоток в комплекте (L-3м)(шт)</t>
  </si>
  <si>
    <t>ТВ 140.50.1(шт)</t>
  </si>
  <si>
    <t>ТВ 80.50.1(шт)</t>
  </si>
  <si>
    <t>краска разм.(тн)</t>
  </si>
  <si>
    <t>ремонт  грав-го покрытия</t>
  </si>
  <si>
    <t>Перевод грунт. в грав-ные</t>
  </si>
  <si>
    <t>Мин. порошок (тонн)</t>
  </si>
  <si>
    <t>труба ТБ 40.25-2, м</t>
  </si>
  <si>
    <t>в том числе</t>
  </si>
  <si>
    <t>битум, тонн</t>
  </si>
  <si>
    <t>щебень 10-15, м3</t>
  </si>
  <si>
    <t>отсев, м3</t>
  </si>
  <si>
    <t>Смесь №12, м3</t>
  </si>
  <si>
    <t>щебень, 20-40, м3</t>
  </si>
  <si>
    <t>Всего</t>
  </si>
  <si>
    <t>щебень, 5-10, м3</t>
  </si>
  <si>
    <t>устройство а/бет покрытия</t>
  </si>
  <si>
    <t>катанка  д=5,5, т</t>
  </si>
  <si>
    <t>Плитка мелкоштучная , h=8 см, (м2)</t>
  </si>
  <si>
    <t>камень бутовый, м3</t>
  </si>
  <si>
    <t>целюлоза, тн</t>
  </si>
  <si>
    <t>Стойки дорожные СД-1  шт</t>
  </si>
  <si>
    <t>Стойки дорожные СД-2  шт</t>
  </si>
  <si>
    <t>Секция балки СБ-1  шт</t>
  </si>
  <si>
    <t>Элемент световозвр ЭС-1  шт</t>
  </si>
  <si>
    <t>Связь диагональная  СДД</t>
  </si>
  <si>
    <t>щебень (5)10-20, м3</t>
  </si>
  <si>
    <t>труба а/ц д=400мм, м</t>
  </si>
  <si>
    <t>труба а/ц д=300мм, м</t>
  </si>
  <si>
    <t>Фундамент Ф-1 (под стойку д/з)</t>
  </si>
  <si>
    <t>водосбросные лотки ПЛ290*250*80. шт.</t>
  </si>
  <si>
    <t>Панель ограждения П6вк  3 017.1</t>
  </si>
  <si>
    <t>БР 100.30.15 (шт)</t>
  </si>
  <si>
    <t>лекальный блок Ф20.1</t>
  </si>
  <si>
    <t>лекальный блок Ф20.3</t>
  </si>
  <si>
    <t>Люк чугунный тяжёлый</t>
  </si>
  <si>
    <t>Сталь оцинкованная листовая тол. 0,7 мм, тн.</t>
  </si>
  <si>
    <t>лекальный блок Ф20.2</t>
  </si>
  <si>
    <t>Портальная стенка П12.18, шт</t>
  </si>
  <si>
    <t>краска эмаль  ХВ    кг</t>
  </si>
  <si>
    <t>краска ПФ-115 .кг</t>
  </si>
  <si>
    <t>арматура А-1 д=6  , т</t>
  </si>
  <si>
    <t>контейнеры  КМ-1, шт</t>
  </si>
  <si>
    <t>Ткань стеклянная изоляционная марки А1(м2)</t>
  </si>
  <si>
    <t>георешётка (м2)</t>
  </si>
  <si>
    <t>лекальный блок Ф20,4</t>
  </si>
  <si>
    <t>арматура А-400 д=25мм, т</t>
  </si>
  <si>
    <t>1ПР6-01</t>
  </si>
  <si>
    <t>арматура А-400 д=10, т</t>
  </si>
  <si>
    <t>арматура А-240 д=10, т</t>
  </si>
  <si>
    <t>ремонтный материал РМм1,т</t>
  </si>
  <si>
    <t>ЛЮК ЧУГУННЫЙ СРЕДНИЙ</t>
  </si>
  <si>
    <t>ГЕОТЕКСТИЛЬ М2</t>
  </si>
  <si>
    <t>плита дорожная ПНД6.2</t>
  </si>
  <si>
    <t>камень брусчатый м3</t>
  </si>
  <si>
    <t>битум  модифицированный</t>
  </si>
  <si>
    <t>Kraton D1101 CM</t>
  </si>
  <si>
    <t>Секция балки СБ-2  шт</t>
  </si>
  <si>
    <t>плиткаПК100.12.еСТБ1261-2001(м2)</t>
  </si>
  <si>
    <t>ТВ 60.25.1(шт)</t>
  </si>
  <si>
    <t>Плита ПП10-1, шт</t>
  </si>
  <si>
    <t>ПГС  м3</t>
  </si>
  <si>
    <t>шлак</t>
  </si>
  <si>
    <t>плиты днища КЦД- 7 .шт</t>
  </si>
  <si>
    <t>кольцо стеновое КЦ-7-3 , шт</t>
  </si>
  <si>
    <t>кольцо стеновое КЦ-7-9б , шт</t>
  </si>
  <si>
    <t>Плита КЦП2-7, шт</t>
  </si>
  <si>
    <t>Плита ПН-10, шт</t>
  </si>
  <si>
    <t>Плита ПН-15, шт</t>
  </si>
  <si>
    <t>плиты  ПП10-2 .шт</t>
  </si>
  <si>
    <t>Кольцо КС-15.9 шт</t>
  </si>
  <si>
    <t>Плита ПП15-2, шт</t>
  </si>
  <si>
    <t>Плитка ТП-20</t>
  </si>
  <si>
    <t>Плиткаа ТП-15,шт</t>
  </si>
  <si>
    <t>полотно нетканое геотекстильное с семенами трав (м2)</t>
  </si>
  <si>
    <t>Геотекститльный материал,м2</t>
  </si>
  <si>
    <t>труба ТВ100.25(шт)</t>
  </si>
  <si>
    <t>Плита 1ПП20-1, шт</t>
  </si>
  <si>
    <t>Плита КЦП1-7, шт</t>
  </si>
  <si>
    <t>Плита ПП15-1, шт</t>
  </si>
  <si>
    <t>Песок, грунт,соль тн</t>
  </si>
  <si>
    <t>адгезионная присадка</t>
  </si>
  <si>
    <t>Дождеприемник ДБ1, шт</t>
  </si>
  <si>
    <t>Плита ПГ-5 шт</t>
  </si>
  <si>
    <t>ТВ120.25 (шт)</t>
  </si>
  <si>
    <r>
      <t xml:space="preserve">труба ст. сварная </t>
    </r>
    <r>
      <rPr>
        <sz val="12"/>
        <rFont val="Arial"/>
        <family val="2"/>
        <charset val="204"/>
      </rPr>
      <t>Ø</t>
    </r>
    <r>
      <rPr>
        <sz val="12"/>
        <rFont val="Times New Roman"/>
        <family val="1"/>
        <charset val="204"/>
      </rPr>
      <t xml:space="preserve"> 530мм СТ ВСТ 3СП2, м</t>
    </r>
  </si>
  <si>
    <t>дождеприёмник ДМ 2(гост 3634-99)</t>
  </si>
  <si>
    <t>Опора ОМ2-13-12</t>
  </si>
  <si>
    <t>Труба ПВХ диаметр 200 SN8, м</t>
  </si>
  <si>
    <t>ТВ 80.25.1(шт)</t>
  </si>
  <si>
    <t>присадка БелАД, тн</t>
  </si>
  <si>
    <t>Стойки дорожные СД-Д12 1850 шт</t>
  </si>
  <si>
    <t>Секция балки СБ-5;6  шт</t>
  </si>
  <si>
    <t>Секция балки МК-29;24  шт</t>
  </si>
  <si>
    <t>Консоль-амортизатор КАН</t>
  </si>
  <si>
    <t>Элемент концевой ЭК-1;2  шт</t>
  </si>
  <si>
    <t xml:space="preserve">Кольцо стеновоеКС7.9 </t>
  </si>
  <si>
    <t>Плита перекрытия 1ПП15-1, шт</t>
  </si>
  <si>
    <t>Плита перекрытия КЦП1-7, шт</t>
  </si>
  <si>
    <t>Плита 1ПП15-2, шт</t>
  </si>
  <si>
    <t>Труба ПВХ диаметр 315 м</t>
  </si>
  <si>
    <t>Труба ПВХ диаметр 160 м</t>
  </si>
  <si>
    <t>Труба ПВХ сред.типа ПНД ПЭ 80 SDR 26 0,5МПА диаметр 355 м</t>
  </si>
  <si>
    <t>Труба ПВХ сред.типа ПНД ПЭ 100 SDR 17 1,0МПА диаметр 160 м</t>
  </si>
  <si>
    <t>Труба класса ВТ-9 диаметр 300мм, шт</t>
  </si>
  <si>
    <t>Труба класса ВТ-9 диаметр 400мм, шт</t>
  </si>
  <si>
    <t>лотки(серия3.006.1-8),ЛК300.60.45-1 (шт)</t>
  </si>
  <si>
    <t>Плита ПД6, шт</t>
  </si>
  <si>
    <t>Труба ПВХ диаметр 250 SN4, м</t>
  </si>
  <si>
    <t>ТВ 120.25-1(шт)</t>
  </si>
  <si>
    <t>плитка К50.8</t>
  </si>
  <si>
    <t>плитка ПК75.7.еСТБ1261-2001(м2)</t>
  </si>
  <si>
    <t>присадка КХД, тн</t>
  </si>
  <si>
    <t>плита ПН-20</t>
  </si>
  <si>
    <t xml:space="preserve">Кольцо стеновое КС-20.9, шт
</t>
  </si>
  <si>
    <t>КС-20,9 шт.</t>
  </si>
  <si>
    <t xml:space="preserve"> ТРУБЫ ПОЛИЭТИЛЕНОВЫЕ СРЕДНЕГО ТИПА, ПНД ПЭ 80 SDR 21 0,63 МПА, НАРУЖНЫМ ДИАМЕТРОМ 110 ММ, М</t>
  </si>
  <si>
    <t>ТРУБЫ ПОЛИЭТИЛЕНОВЫЕ СРЕДНЕГО ТИПА, ПНД ПЭ 80 SDR 21 0,63 МПА, НАРУЖНЫМ ДИАМЕТРОМ 225 ММ, М</t>
  </si>
  <si>
    <t>ТРУБЫ ПОЛИЭТИЛЕНОВЫЕ СРЕДНЕГО ТИПА, ПНД ПЭ 80 SDR 21 0,63 МПА, НАРУЖНЫМ ДИАМЕТРОМ 500 ММ, М</t>
  </si>
  <si>
    <t>ТРУБЫ СТАЛЬНЫЕ ЭЛЕКТРОСВАРНЫЕ ПРЯМОШОВНЫЕ И СПИРАЛЬНОШОВНЫЕ ГРУППЫ А И Б С СОПРОТИВЛЕНИЕМ РАЗРЫВУ 38 КГС/ММ2, НАРУЖНЫЙ ДИАМЕТР 720 ММ, ТОЛЩИНА СТЕНКИ 10 ММ, М</t>
  </si>
  <si>
    <t>Всего по ДРСУ</t>
  </si>
  <si>
    <t>Приложение №1</t>
  </si>
  <si>
    <t>наименование объекта</t>
  </si>
  <si>
    <t>абетон</t>
  </si>
  <si>
    <t>Инертные на объект</t>
  </si>
  <si>
    <t>ткм</t>
  </si>
  <si>
    <t>всего</t>
  </si>
  <si>
    <t>т</t>
  </si>
  <si>
    <t>плечо</t>
  </si>
  <si>
    <t>песок</t>
  </si>
  <si>
    <t>инер объек</t>
  </si>
  <si>
    <t>инер баз</t>
  </si>
  <si>
    <t>итого инертн</t>
  </si>
  <si>
    <t>1.Собственный</t>
  </si>
  <si>
    <t>инертные на базу</t>
  </si>
  <si>
    <t>Инертные на АБЗ для асфальтобетона</t>
  </si>
  <si>
    <t>Директор ДРСУ-113</t>
  </si>
  <si>
    <t xml:space="preserve"> </t>
  </si>
  <si>
    <t xml:space="preserve">                                                </t>
  </si>
  <si>
    <t>Наименование объекта</t>
  </si>
  <si>
    <t>резцы,шт</t>
  </si>
  <si>
    <t>Смесь №4, м3</t>
  </si>
  <si>
    <t>Плита 1ПП15-2,шт</t>
  </si>
  <si>
    <t>Кольцо стеновое КС 15.6</t>
  </si>
  <si>
    <t>Кольцо стеновое КС 15.9</t>
  </si>
  <si>
    <t>Плита днища ПН15.3.900.1</t>
  </si>
  <si>
    <t>Плита перекрытия колодцев 1ПП15-2.3.900</t>
  </si>
  <si>
    <t>Плита перекрытия колодцев 3ПП15-2.3.900</t>
  </si>
  <si>
    <t>Труба политиленовая гофрированная корсис  диам 315 ,м</t>
  </si>
  <si>
    <t>Труба политиленовая   диам 500 ,м</t>
  </si>
  <si>
    <t>Труба политиленовая   диам 150 ,м</t>
  </si>
  <si>
    <t>Труба политиленовая   диам 300,м</t>
  </si>
  <si>
    <t>ПГС ИЗ К-РА "Стрельск"  ,м3</t>
  </si>
  <si>
    <t>Труба ж.б. ТВ 100.25-2, шт</t>
  </si>
  <si>
    <t>Лоток Л4-15.3.006-1-7.87,шт</t>
  </si>
  <si>
    <t>Плита перекрытия 179-15Б,шт</t>
  </si>
  <si>
    <t>скамья ж/б, шт</t>
  </si>
  <si>
    <t>урна ж/б ,шт</t>
  </si>
  <si>
    <t>щебня надо ,и3</t>
  </si>
  <si>
    <t>отсева надо,м3</t>
  </si>
  <si>
    <t>Надо денег</t>
  </si>
  <si>
    <t>Содержание дорог</t>
  </si>
  <si>
    <t>БР 100.30.18 (шт)</t>
  </si>
  <si>
    <t>Автопавильон ж/б  , шт</t>
  </si>
  <si>
    <t>Плиты тротуарные серые 80 мм,м2</t>
  </si>
  <si>
    <t>Кольцо КО-6 шт</t>
  </si>
  <si>
    <t>Стойка дорожная оцинкованная СД-1,длина 1850 мм,шт</t>
  </si>
  <si>
    <t>Секция балки оцинкованная СБ-1,длина 4320мм,тол.листа 4мм,шт</t>
  </si>
  <si>
    <t>Консоль жесткая оцинкованная КЖ,шт</t>
  </si>
  <si>
    <t>Элемент концевой оцинкованный ЭК-1,тол.лис.4мм,шт</t>
  </si>
  <si>
    <t>элемент световозвращающий оцинкованный ,шт</t>
  </si>
  <si>
    <t>Шайба плоская оцинкованная,шт</t>
  </si>
  <si>
    <t>Болты оцинкованные,тн</t>
  </si>
  <si>
    <t>Гайки шестигранные,тн</t>
  </si>
  <si>
    <t>Адгезионная присадка,тн</t>
  </si>
  <si>
    <t>Целюлоза,тн</t>
  </si>
  <si>
    <t>Асфальтогранулят,м3</t>
  </si>
  <si>
    <t>резцы, шт</t>
  </si>
  <si>
    <t>а/б тип Б</t>
  </si>
  <si>
    <t>щ.20-40,м3</t>
  </si>
  <si>
    <t>отсев</t>
  </si>
  <si>
    <t>борт 30</t>
  </si>
  <si>
    <t>бетон</t>
  </si>
  <si>
    <t>а/б тип Г</t>
  </si>
  <si>
    <t>песчаный грунт,м3</t>
  </si>
  <si>
    <t>С-4</t>
  </si>
  <si>
    <t>БОРТ 20</t>
  </si>
  <si>
    <t>А/П  Ж/Б</t>
  </si>
  <si>
    <t>УЛ 40 ЛЕТ Победы Р.Маримонова</t>
  </si>
  <si>
    <t>Плиты тротуарные пигмент красный мелкоштучная , h=8 см, (м2)</t>
  </si>
  <si>
    <t>Итого с/силами</t>
  </si>
  <si>
    <t>Состав атисептический жидкий "эк-гранит"-7 %,л</t>
  </si>
  <si>
    <t>Полотно нетканое иглопробивное с семенами трав шир до 2,1м,м2</t>
  </si>
  <si>
    <t>РММ I-РММ III конструкционный ПЦ-МЗ-БТ-НА (masteremaco A640) (MACFLON),кг</t>
  </si>
  <si>
    <t>Сетка арматурная,т</t>
  </si>
  <si>
    <t xml:space="preserve">щебень, 20-40, м3 </t>
  </si>
  <si>
    <t>О.А.Колосов</t>
  </si>
  <si>
    <t>тротуары, км</t>
  </si>
  <si>
    <t>автопаввильоны, шт.</t>
  </si>
  <si>
    <t>трубы, шт.</t>
  </si>
  <si>
    <t>мосты, шт.</t>
  </si>
  <si>
    <t>разворотное кольцо, м2</t>
  </si>
  <si>
    <t>ограждение, п.м.</t>
  </si>
  <si>
    <t>АСФАЛЬТОБЕТОН</t>
  </si>
  <si>
    <t>СОМС (тонн)</t>
  </si>
  <si>
    <r>
      <rPr>
        <b/>
        <sz val="12"/>
        <rFont val="Times New Roman"/>
        <family val="1"/>
        <charset val="204"/>
      </rPr>
      <t>С-2</t>
    </r>
    <r>
      <rPr>
        <sz val="12"/>
        <rFont val="Times New Roman"/>
        <family val="1"/>
        <charset val="204"/>
      </rPr>
      <t xml:space="preserve"> готовая,м3</t>
    </r>
  </si>
  <si>
    <r>
      <rPr>
        <b/>
        <sz val="11"/>
        <rFont val="Times New Roman"/>
        <family val="1"/>
        <charset val="204"/>
      </rPr>
      <t>С-4</t>
    </r>
    <r>
      <rPr>
        <sz val="11"/>
        <rFont val="Times New Roman"/>
        <family val="1"/>
        <charset val="204"/>
      </rPr>
      <t xml:space="preserve"> готовая ,м3</t>
    </r>
  </si>
  <si>
    <r>
      <rPr>
        <b/>
        <sz val="11"/>
        <rFont val="Times New Roman"/>
        <family val="1"/>
        <charset val="204"/>
      </rPr>
      <t>С-12</t>
    </r>
    <r>
      <rPr>
        <sz val="11"/>
        <rFont val="Times New Roman"/>
        <family val="1"/>
        <charset val="204"/>
      </rPr>
      <t xml:space="preserve"> готовая ,м3</t>
    </r>
  </si>
  <si>
    <r>
      <t xml:space="preserve"> щебень </t>
    </r>
    <r>
      <rPr>
        <b/>
        <sz val="12"/>
        <rFont val="Times New Roman"/>
        <family val="1"/>
        <charset val="204"/>
      </rPr>
      <t>5-10</t>
    </r>
    <r>
      <rPr>
        <sz val="12"/>
        <rFont val="Times New Roman"/>
        <family val="1"/>
        <charset val="204"/>
      </rPr>
      <t xml:space="preserve"> (м3)</t>
    </r>
  </si>
  <si>
    <r>
      <t xml:space="preserve"> щебень </t>
    </r>
    <r>
      <rPr>
        <b/>
        <sz val="12"/>
        <rFont val="Times New Roman"/>
        <family val="1"/>
        <charset val="204"/>
      </rPr>
      <t>5-20</t>
    </r>
    <r>
      <rPr>
        <sz val="12"/>
        <rFont val="Times New Roman"/>
        <family val="1"/>
        <charset val="204"/>
      </rPr>
      <t xml:space="preserve"> (м3)</t>
    </r>
  </si>
  <si>
    <r>
      <t xml:space="preserve"> щебень </t>
    </r>
    <r>
      <rPr>
        <b/>
        <sz val="12"/>
        <rFont val="Times New Roman"/>
        <family val="1"/>
        <charset val="204"/>
      </rPr>
      <t>10-20</t>
    </r>
    <r>
      <rPr>
        <sz val="12"/>
        <rFont val="Times New Roman"/>
        <family val="1"/>
        <charset val="204"/>
      </rPr>
      <t xml:space="preserve"> (м3)</t>
    </r>
  </si>
  <si>
    <r>
      <t xml:space="preserve"> щебень, </t>
    </r>
    <r>
      <rPr>
        <b/>
        <sz val="12"/>
        <rFont val="Times New Roman"/>
        <family val="1"/>
        <charset val="204"/>
      </rPr>
      <t>20-40</t>
    </r>
    <r>
      <rPr>
        <sz val="12"/>
        <rFont val="Times New Roman"/>
        <family val="1"/>
        <charset val="204"/>
      </rPr>
      <t xml:space="preserve"> (м3)</t>
    </r>
  </si>
  <si>
    <r>
      <t xml:space="preserve"> щебень </t>
    </r>
    <r>
      <rPr>
        <b/>
        <sz val="12"/>
        <rFont val="Times New Roman"/>
        <family val="1"/>
        <charset val="204"/>
      </rPr>
      <t>10-15</t>
    </r>
    <r>
      <rPr>
        <sz val="12"/>
        <rFont val="Times New Roman"/>
        <family val="1"/>
        <charset val="204"/>
      </rPr>
      <t xml:space="preserve"> (м3)</t>
    </r>
  </si>
  <si>
    <r>
      <rPr>
        <b/>
        <sz val="12"/>
        <rFont val="Times New Roman"/>
        <family val="1"/>
        <charset val="204"/>
      </rPr>
      <t>песок</t>
    </r>
    <r>
      <rPr>
        <sz val="12"/>
        <rFont val="Times New Roman"/>
        <family val="1"/>
        <charset val="204"/>
      </rPr>
      <t>, м3</t>
    </r>
  </si>
  <si>
    <t>ИНЕРТНЫЕ</t>
  </si>
  <si>
    <t>Ж/Б автоавильон (шт)</t>
  </si>
  <si>
    <t>МЕТАЛ. автоавильон (шт)</t>
  </si>
  <si>
    <t>ПРОЧИЕ</t>
  </si>
  <si>
    <t>КАПИТАЛЬНЫЙ РЕМОНТ</t>
  </si>
  <si>
    <t>ПСС</t>
  </si>
  <si>
    <t>РЕКОНСТРУКЦИЯ</t>
  </si>
  <si>
    <t>1 : 1, тн</t>
  </si>
  <si>
    <t>3 : 1, тн.</t>
  </si>
  <si>
    <t>Щитки дор. знаков(шт)</t>
  </si>
  <si>
    <t>Содержание улиц</t>
  </si>
  <si>
    <t>КМ</t>
  </si>
  <si>
    <r>
      <t xml:space="preserve">А/бетон </t>
    </r>
    <r>
      <rPr>
        <b/>
        <sz val="12"/>
        <rFont val="Times New Roman"/>
        <family val="1"/>
        <charset val="204"/>
      </rPr>
      <t>ЩМБ</t>
    </r>
    <r>
      <rPr>
        <sz val="12"/>
        <rFont val="Times New Roman"/>
        <family val="1"/>
        <charset val="204"/>
      </rPr>
      <t>, тонн</t>
    </r>
  </si>
  <si>
    <r>
      <t xml:space="preserve">А/бетон </t>
    </r>
    <r>
      <rPr>
        <b/>
        <sz val="12"/>
        <rFont val="Times New Roman"/>
        <family val="1"/>
        <charset val="204"/>
      </rPr>
      <t>ПГ</t>
    </r>
    <r>
      <rPr>
        <sz val="12"/>
        <rFont val="Times New Roman"/>
        <family val="1"/>
        <charset val="204"/>
      </rPr>
      <t>, тонн</t>
    </r>
  </si>
  <si>
    <r>
      <t xml:space="preserve">А/бетон </t>
    </r>
    <r>
      <rPr>
        <b/>
        <sz val="12"/>
        <rFont val="Times New Roman"/>
        <family val="1"/>
        <charset val="204"/>
      </rPr>
      <t>ЩКП</t>
    </r>
    <r>
      <rPr>
        <sz val="12"/>
        <rFont val="Times New Roman"/>
        <family val="1"/>
        <charset val="204"/>
      </rPr>
      <t>, тонн</t>
    </r>
  </si>
  <si>
    <t>ПРОЧИЕ ОБЪЕКТЫ</t>
  </si>
  <si>
    <t>дор. знаки, шт.</t>
  </si>
  <si>
    <t>остановочные площадки, шт.</t>
  </si>
  <si>
    <t>посадочные площадки, шт.</t>
  </si>
  <si>
    <t>площадка ожидания, шт.</t>
  </si>
  <si>
    <t>укрепление обочин, км</t>
  </si>
  <si>
    <r>
      <rPr>
        <b/>
        <sz val="12"/>
        <rFont val="Times New Roman"/>
        <family val="1"/>
        <charset val="204"/>
      </rPr>
      <t xml:space="preserve">отсев </t>
    </r>
    <r>
      <rPr>
        <sz val="12"/>
        <rFont val="Times New Roman"/>
        <family val="1"/>
        <charset val="204"/>
      </rPr>
      <t>Глушкевичи, м3</t>
    </r>
  </si>
  <si>
    <r>
      <rPr>
        <b/>
        <sz val="12"/>
        <rFont val="Times New Roman"/>
        <family val="1"/>
        <charset val="204"/>
      </rPr>
      <t xml:space="preserve">отсев </t>
    </r>
    <r>
      <rPr>
        <sz val="12"/>
        <rFont val="Times New Roman"/>
        <family val="1"/>
        <charset val="204"/>
      </rPr>
      <t>Гранит, м3</t>
    </r>
  </si>
  <si>
    <t>Инертные на АБЗ для асфальтобетона (со склада)</t>
  </si>
  <si>
    <t>Стойки дор. знаков (дер.) (шт)</t>
  </si>
  <si>
    <t>Сигнальные фанори (шт)</t>
  </si>
  <si>
    <t>объём
произв</t>
  </si>
  <si>
    <t>СМР 
в д.ц.</t>
  </si>
  <si>
    <t>2. Дефицит</t>
  </si>
  <si>
    <t>ИТОГО</t>
  </si>
  <si>
    <t>Н-4119 Хуторянка - ст. Терюха, км0-км4,15</t>
  </si>
  <si>
    <t>Начальник ППО</t>
  </si>
  <si>
    <t>Р.А. Кумашёв</t>
  </si>
  <si>
    <t xml:space="preserve">Длина </t>
  </si>
  <si>
    <t>площадь
м2</t>
  </si>
  <si>
    <t>А/бетон</t>
  </si>
  <si>
    <t>Лимит</t>
  </si>
  <si>
    <t>5,0см</t>
  </si>
  <si>
    <t>6,0см</t>
  </si>
  <si>
    <t>Стоимость,
рублей</t>
  </si>
  <si>
    <t>А/д Н-18287 Подъезд к кладбищу аг. Ерёмино от а/д Н-4107, км 0,000 - км 1,100</t>
  </si>
  <si>
    <t xml:space="preserve">Начальник ППО </t>
  </si>
  <si>
    <t>Р.А. Кумащёв</t>
  </si>
  <si>
    <t>А/д Н-18333 Подъезд к поселку Просвет через агрогородок Тереничи от а/д М-5/Е271 Минск - Гомель, км 2,174, мост через р. Уза</t>
  </si>
  <si>
    <t>№
п/п</t>
  </si>
  <si>
    <t>Hслоя
см</t>
  </si>
  <si>
    <t>Длина
км</t>
  </si>
  <si>
    <t>Стоимость,
руб.</t>
  </si>
  <si>
    <t>Ширина
м.</t>
  </si>
  <si>
    <t>Кол-во
шт.</t>
  </si>
  <si>
    <t>Асфальтобетон</t>
  </si>
  <si>
    <t>S
м2</t>
  </si>
  <si>
    <t>тонн</t>
  </si>
  <si>
    <t>м3</t>
  </si>
  <si>
    <r>
      <t xml:space="preserve">А/бетон </t>
    </r>
    <r>
      <rPr>
        <b/>
        <sz val="12"/>
        <rFont val="Times New Roman"/>
        <family val="1"/>
        <charset val="204"/>
      </rPr>
      <t>ЩМБт</t>
    </r>
    <r>
      <rPr>
        <sz val="12"/>
        <rFont val="Times New Roman"/>
        <family val="1"/>
        <charset val="204"/>
      </rPr>
      <t>, 
тонн</t>
    </r>
  </si>
  <si>
    <t>С-2</t>
  </si>
  <si>
    <t>Блок дорожный разделительный  БРД-2000,шт</t>
  </si>
  <si>
    <t>По видам работ</t>
  </si>
  <si>
    <t>ИТОГО реконструкция</t>
  </si>
  <si>
    <t xml:space="preserve"> С-10</t>
  </si>
  <si>
    <t>План.
инф-
ляция</t>
  </si>
  <si>
    <t xml:space="preserve">Пока-
затель
роста </t>
  </si>
  <si>
    <t>% к СМР
в ценах 
2022г.</t>
  </si>
  <si>
    <t>Январь</t>
  </si>
  <si>
    <t>Февраль</t>
  </si>
  <si>
    <t>Март</t>
  </si>
  <si>
    <t>I КВАРТАЛЛ</t>
  </si>
  <si>
    <t>Апрель</t>
  </si>
  <si>
    <t>Май</t>
  </si>
  <si>
    <t>Июнь</t>
  </si>
  <si>
    <t>I-II КВАРТАЛЛ</t>
  </si>
  <si>
    <t>Июль</t>
  </si>
  <si>
    <t>Август</t>
  </si>
  <si>
    <t>Сентябрь</t>
  </si>
  <si>
    <t>I-III КВАРТАЛЛ</t>
  </si>
  <si>
    <t>Октябрь</t>
  </si>
  <si>
    <t>Ноябрь</t>
  </si>
  <si>
    <t>Декабрь</t>
  </si>
  <si>
    <t>I-IV КВАРТАЛЛ</t>
  </si>
  <si>
    <t>Стат
инд.
к 
сопост.
месяцу</t>
  </si>
  <si>
    <t>на январь</t>
  </si>
  <si>
    <t>на февраль</t>
  </si>
  <si>
    <t>на март</t>
  </si>
  <si>
    <t>на апрель</t>
  </si>
  <si>
    <t>на май</t>
  </si>
  <si>
    <t>на июнь</t>
  </si>
  <si>
    <t>на июль</t>
  </si>
  <si>
    <t>на август</t>
  </si>
  <si>
    <t>на сентябрь</t>
  </si>
  <si>
    <t>на октябрь</t>
  </si>
  <si>
    <t>на ноябрь</t>
  </si>
  <si>
    <t>на декабрь</t>
  </si>
  <si>
    <t xml:space="preserve"> С-1</t>
  </si>
  <si>
    <t>ФИЗ. ПОКАЗАТЕЛИ</t>
  </si>
  <si>
    <t>щебень 10-20, м3</t>
  </si>
  <si>
    <t>Капитальный ремонт местные</t>
  </si>
  <si>
    <t>Прочие министерства</t>
  </si>
  <si>
    <t>инертные
на базу</t>
  </si>
  <si>
    <t>Автопавильон
(перил. огражден)</t>
  </si>
  <si>
    <t>м2</t>
  </si>
  <si>
    <t>п.м.</t>
  </si>
  <si>
    <t>СМР
без СОДЕРЖАНИЯ
в ценах
2022г.</t>
  </si>
  <si>
    <t>в том числе
СМР
содержания
в ценах
2022г.</t>
  </si>
  <si>
    <t>объём произв</t>
  </si>
  <si>
    <t>СМР в д.ц.</t>
  </si>
  <si>
    <t xml:space="preserve">км </t>
  </si>
  <si>
    <t>Асфальтобетон, тонн</t>
  </si>
  <si>
    <t>С-10</t>
  </si>
  <si>
    <t>20(40)-70 (м3)</t>
  </si>
  <si>
    <t>Цемент (тонн)</t>
  </si>
  <si>
    <t>автоавильон (шт)</t>
  </si>
  <si>
    <t>Плитка мелкоштучная , h=6 см, (м2)</t>
  </si>
  <si>
    <t>скамья, шт</t>
  </si>
  <si>
    <t>урна, шт</t>
  </si>
  <si>
    <t>Люк плавающий</t>
  </si>
  <si>
    <t>Плита 1ПП60,шт</t>
  </si>
  <si>
    <t>Кольцо КС-10.9 шт</t>
  </si>
  <si>
    <t>Кольцо КС-15.6 шт</t>
  </si>
  <si>
    <t>КС-7-3</t>
  </si>
  <si>
    <t>Плитка ПП10-15,шт</t>
  </si>
  <si>
    <t>люк лёгкий</t>
  </si>
  <si>
    <t>Кольцо стеновое КС 10.6</t>
  </si>
  <si>
    <t>Кольцо опорное КО6 3.900.1-14в1.</t>
  </si>
  <si>
    <t>КС 120.9, ШТ</t>
  </si>
  <si>
    <t>Асбест хризолитовый марки 7-370 (кг)</t>
  </si>
  <si>
    <t>арматура S-500 д=10мм, т</t>
  </si>
  <si>
    <t>арматура S-500 д=18мм, т</t>
  </si>
  <si>
    <t xml:space="preserve"> Труба  металическая  гофрированая  диаметром   2 м    п.м </t>
  </si>
  <si>
    <t xml:space="preserve"> пов.    обр. ч/щебень</t>
  </si>
  <si>
    <t>щебень 10-20, м3(1группы)</t>
  </si>
  <si>
    <t>ПГС (Студенец)</t>
  </si>
  <si>
    <t>ЩПС №4 м3</t>
  </si>
  <si>
    <t>ЩПС №2 м3</t>
  </si>
  <si>
    <t>щебень, 10-15, м3</t>
  </si>
  <si>
    <t>битум</t>
  </si>
  <si>
    <t>эмульсия, тонн</t>
  </si>
  <si>
    <t>А/д Н-18333 Подъезд к п. Просвет через аг.Тереничи от а/д М-5/Е271 Минск - Гомель, км 2,174, мост через р. Уза</t>
  </si>
  <si>
    <r>
      <t xml:space="preserve">А/бетон </t>
    </r>
    <r>
      <rPr>
        <b/>
        <sz val="12"/>
        <rFont val="Times New Roman"/>
        <family val="1"/>
        <charset val="204"/>
      </rPr>
      <t>ЩМП</t>
    </r>
    <r>
      <rPr>
        <sz val="12"/>
        <rFont val="Times New Roman"/>
        <family val="1"/>
        <charset val="204"/>
      </rPr>
      <t>, тонн</t>
    </r>
  </si>
  <si>
    <t>А/д Н-4095 Центролит - Урицкое - Уваровичи, 1,073- км 3,840</t>
  </si>
  <si>
    <t>УТВЕРЖДАЮ:</t>
  </si>
  <si>
    <t>Заместитель генерального
директора КПРСУП "Гомельоблдорстрой"</t>
  </si>
  <si>
    <t xml:space="preserve">_______________________С.К.Раздерищенко </t>
  </si>
  <si>
    <t>Наименование
 дороги, км</t>
  </si>
  <si>
    <t>Наименование
 ремонтных работ</t>
  </si>
  <si>
    <t>Ед.изм.</t>
  </si>
  <si>
    <t>Объем 
работ по плану</t>
  </si>
  <si>
    <t>Материалы</t>
  </si>
  <si>
    <t xml:space="preserve">Кол-во </t>
  </si>
  <si>
    <t>СМР по плану
 тыс. руб.</t>
  </si>
  <si>
    <t>КВ, тыс. руб</t>
  </si>
  <si>
    <t>Ямочный ремонт "КАРТАМИ"</t>
  </si>
  <si>
    <t>1000м2</t>
  </si>
  <si>
    <t xml:space="preserve">а/бетон </t>
  </si>
  <si>
    <t xml:space="preserve">эмульсия </t>
  </si>
  <si>
    <t xml:space="preserve">Ямочный ремонт  вручную  </t>
  </si>
  <si>
    <t>100м2</t>
  </si>
  <si>
    <t xml:space="preserve">Ямочный ремонт патчер </t>
  </si>
  <si>
    <t>1 т смеси</t>
  </si>
  <si>
    <t>щеб5*10 /</t>
  </si>
  <si>
    <t>1 патчер 62 м2</t>
  </si>
  <si>
    <t xml:space="preserve">Разравнивание </t>
  </si>
  <si>
    <t xml:space="preserve">смесь С-4 </t>
  </si>
  <si>
    <t xml:space="preserve">смесь С-2 </t>
  </si>
  <si>
    <t>Зимнее содержание (посыпка)</t>
  </si>
  <si>
    <t>ПСС (1:1)</t>
  </si>
  <si>
    <t>тн</t>
  </si>
  <si>
    <t>ПСС (3:1)</t>
  </si>
  <si>
    <t xml:space="preserve">Скашивание </t>
  </si>
  <si>
    <t>Паромная переправа</t>
  </si>
  <si>
    <t xml:space="preserve">1 рейс </t>
  </si>
  <si>
    <t>ДИРЕКТОР ДРСУ-113</t>
  </si>
  <si>
    <t>О.А. Колосов</t>
  </si>
  <si>
    <t>ИТОГО:</t>
  </si>
  <si>
    <t>Площадь,
м2</t>
  </si>
  <si>
    <t>Толщина
слоя,
см</t>
  </si>
  <si>
    <t>Потребность в резцах,
шт.</t>
  </si>
  <si>
    <t>Потребность в фрезе дорожной W-2000</t>
  </si>
  <si>
    <t>Потребность,
маш.час.</t>
  </si>
  <si>
    <t>Содержание улиц населённых пунктов</t>
  </si>
  <si>
    <t>Содержание местных дорог</t>
  </si>
  <si>
    <t>Реконструкция местные</t>
  </si>
  <si>
    <t>дня</t>
  </si>
  <si>
    <t>Инженерное оборудование и обустройство 
( установка и замена  дорожных знаков.  окраска барьерного, перильного ограждений, павильонов  уборка мусора  )</t>
  </si>
  <si>
    <t>Устройство проездов фермы в н.п. Марковичи</t>
  </si>
  <si>
    <t>Бруски обрез  L= 4-6,5 М,
B=75-150 ММ, H=40-75 ММ, м3</t>
  </si>
  <si>
    <t>Бруски обрез  L= 4-6,5 М,
B=100-150 ММ, H=100, 125 ММ, м3</t>
  </si>
  <si>
    <t>Бруски обрез  L= 4-6,5 М,
B=150 ММ, H=150 ММ, м3</t>
  </si>
  <si>
    <t>Доски толщиной 32, 40 ММ, м3</t>
  </si>
  <si>
    <t>Доски толщиной 44 ММ, м3</t>
  </si>
  <si>
    <t>Лесомат. круглый L= 14-24 СМ, м3</t>
  </si>
  <si>
    <t>ЛЕСОМАТЕРИАЛ, м3</t>
  </si>
  <si>
    <t>Щиты из досок, м2</t>
  </si>
  <si>
    <t>Инвентарная ОПАЛУБКА, тн.</t>
  </si>
  <si>
    <t>БЕТОН  крупность 20 мм, В35 F300 W8, м3</t>
  </si>
  <si>
    <t>Полиуритановые опорные части РПЧ 14, шт</t>
  </si>
  <si>
    <t>МЕТАЛЛ</t>
  </si>
  <si>
    <t>Бетон В-15,м3</t>
  </si>
  <si>
    <t xml:space="preserve">Труба ПЭ 80 SDR 21 D=110mm  h=5,3mm, м. </t>
  </si>
  <si>
    <t xml:space="preserve"> ТРУБЫ ПОЛИЭТИЛЕНОВЫЕ СРЕДНЕГО ТИПА, ПНД ПЭ 80 SDR 21 0,63 МПА, НАРУЖНЫМ ДИАМЕТРОМ 110 ММ толщина стенки 5,3мм, М</t>
  </si>
  <si>
    <t>А/д Н-4094 Рудня - Прибытковская - Глыбоцкое, км 0,500, мост через реку Уть</t>
  </si>
  <si>
    <t>А/д Н-4095 Центролит - Урицкое - Уваровичи, км 3,840 - км 5,650</t>
  </si>
  <si>
    <t>текущий</t>
  </si>
  <si>
    <t>Плитка тактильная(м2)</t>
  </si>
  <si>
    <t>Плитка тротуарная
толщ.60мм(м2)</t>
  </si>
  <si>
    <r>
      <t xml:space="preserve">А/бетон </t>
    </r>
    <r>
      <rPr>
        <b/>
        <sz val="12"/>
        <rFont val="Times New Roman"/>
        <family val="1"/>
        <charset val="204"/>
      </rPr>
      <t>ЩМВ-II</t>
    </r>
    <r>
      <rPr>
        <sz val="12"/>
        <rFont val="Times New Roman"/>
        <family val="1"/>
        <charset val="204"/>
      </rPr>
      <t>, тонн</t>
    </r>
  </si>
  <si>
    <r>
      <rPr>
        <b/>
        <sz val="12"/>
        <rFont val="Times New Roman"/>
        <family val="1"/>
        <charset val="204"/>
      </rPr>
      <t>С-5</t>
    </r>
    <r>
      <rPr>
        <sz val="12"/>
        <rFont val="Times New Roman"/>
        <family val="1"/>
        <charset val="204"/>
      </rPr>
      <t xml:space="preserve"> Гранит,,м3</t>
    </r>
  </si>
  <si>
    <t>Пескоцементная смесь
м3</t>
  </si>
  <si>
    <r>
      <t xml:space="preserve">А/бетон </t>
    </r>
    <r>
      <rPr>
        <b/>
        <sz val="12"/>
        <rFont val="Times New Roman"/>
        <family val="1"/>
        <charset val="204"/>
      </rPr>
      <t>ЩМСг 20-I</t>
    </r>
    <r>
      <rPr>
        <sz val="12"/>
        <rFont val="Times New Roman"/>
        <family val="1"/>
        <charset val="204"/>
      </rPr>
      <t>, тонн</t>
    </r>
  </si>
  <si>
    <t>Резин. битум. вяжущее
РБВ-Г, тн.</t>
  </si>
  <si>
    <t>Н-4090 Северо-западный обход г. Гомеля, км 0,000 - км 4,240</t>
  </si>
  <si>
    <t>Плитка тактильная, м2</t>
  </si>
  <si>
    <t>РАСТВОРЫ цементные, м3</t>
  </si>
  <si>
    <t>БЕТОН  крупность 20 мм, В40 F300 W8, м3</t>
  </si>
  <si>
    <t>арматура S-500 д=16-18мм, т</t>
  </si>
  <si>
    <t>арматура S-500 д=25-28мм, т</t>
  </si>
  <si>
    <t>арматура S240(A240) д=10мм, т</t>
  </si>
  <si>
    <t>проволка стальная   д=3,0-4мм, кг</t>
  </si>
  <si>
    <t>проволка стальная   д=2,0мм, кг</t>
  </si>
  <si>
    <t>Содержание дорог и улиц</t>
  </si>
  <si>
    <t xml:space="preserve">Возведение парковки в районе учреждения «Гомельская областная клиническая больница» по ул. Братьев Лизюковых в г.Гомеле </t>
  </si>
  <si>
    <t>цоколь барьерного ограждения, шт..</t>
  </si>
  <si>
    <t>Рем. состав "ПАРАД, кг.</t>
  </si>
  <si>
    <t>щеб 20-40</t>
  </si>
  <si>
    <t>Ямочный ремонт пропитка</t>
  </si>
  <si>
    <r>
      <rPr>
        <b/>
        <sz val="12"/>
        <rFont val="Times New Roman"/>
        <family val="1"/>
        <charset val="204"/>
      </rPr>
      <t>ГРУНТ песчаный</t>
    </r>
    <r>
      <rPr>
        <sz val="12"/>
        <rFont val="Times New Roman"/>
        <family val="1"/>
        <charset val="204"/>
      </rPr>
      <t>, м3</t>
    </r>
  </si>
  <si>
    <r>
      <t xml:space="preserve"> щебень, </t>
    </r>
    <r>
      <rPr>
        <b/>
        <sz val="12"/>
        <rFont val="Times New Roman"/>
        <family val="1"/>
        <charset val="204"/>
      </rPr>
      <t>20-70</t>
    </r>
    <r>
      <rPr>
        <sz val="12"/>
        <rFont val="Times New Roman"/>
        <family val="1"/>
        <charset val="204"/>
      </rPr>
      <t xml:space="preserve"> (м3)</t>
    </r>
  </si>
  <si>
    <r>
      <rPr>
        <b/>
        <sz val="11"/>
        <rFont val="Times New Roman"/>
        <family val="1"/>
        <charset val="204"/>
      </rPr>
      <t>А/гранулят</t>
    </r>
    <r>
      <rPr>
        <sz val="11"/>
        <rFont val="Times New Roman"/>
        <family val="1"/>
        <charset val="204"/>
      </rPr>
      <t xml:space="preserve"> ,м3</t>
    </r>
  </si>
  <si>
    <t>А/гранулят ,м3</t>
  </si>
  <si>
    <t xml:space="preserve">на объект </t>
  </si>
  <si>
    <t>(реконструкция)</t>
  </si>
  <si>
    <t>Н-4095 Центролит - Урицкое - Уваровичи, 1,073- км 3,840</t>
  </si>
  <si>
    <t>песчаный грунт ЖИТОНЕЖЪЕ</t>
  </si>
  <si>
    <t>песок БЕРЕЗИНСКИЙ</t>
  </si>
  <si>
    <t>инертные ЩОС 7 и ЩОС 3</t>
  </si>
  <si>
    <t>ПГС от разборки (технолог. слой основания)</t>
  </si>
  <si>
    <t xml:space="preserve">верхний слой основания ЩКПг40-I </t>
  </si>
  <si>
    <t>ГРУНТ до 1 км</t>
  </si>
  <si>
    <t xml:space="preserve">БУЛЬДОЗЕРЫ </t>
  </si>
  <si>
    <t>АВТОГРЕЙДЕРЫ</t>
  </si>
  <si>
    <t>Потребность землеройной технике в АВГУСТЕ</t>
  </si>
  <si>
    <t>Наименование
механизмов</t>
  </si>
  <si>
    <t>Потребность
Маш.ч.</t>
  </si>
  <si>
    <t>Кол.
рабочих
смен</t>
  </si>
  <si>
    <t>Кол.
рабочих
часов
на 1 механизм</t>
  </si>
  <si>
    <t>Потребное 
количество
механизмов
ШТ.</t>
  </si>
  <si>
    <t>Расчётное 
количество
механизмов
ШТ.</t>
  </si>
  <si>
    <t>ЭКСКАВАТОР
на погрузку грунта в карьере Житонежъе"</t>
  </si>
  <si>
    <t>Объём
земляных
работ,
м3</t>
  </si>
  <si>
    <t>ЭКСКАВАТОРЫ ОДНОКОВШОВЫЕ
ДИЗЕЛЬНЫЕ 
(разработка и погрузка)</t>
  </si>
  <si>
    <t>Реконструкция зданий и сооружений цеха ССМУ по ул.Химзаводская, 5 г.Гомель. (2-й пусковой комплекс)</t>
  </si>
  <si>
    <t>стойки ОП-11, L=1,5м, шт</t>
  </si>
  <si>
    <t>секция ОП-11, L=3,16м, шт</t>
  </si>
  <si>
    <t>секция ОП-11, L=1,58м, шт</t>
  </si>
  <si>
    <t>Автопавильтон Ж/Б</t>
  </si>
  <si>
    <t>щебень, 5-10 (20) м3</t>
  </si>
  <si>
    <t>ЭКСКАВАТОР
на погрузку песка карьере Березенский</t>
  </si>
  <si>
    <t xml:space="preserve">нижний слой покрытия ЩКПг30-I </t>
  </si>
  <si>
    <t>ожидаем КВ</t>
  </si>
  <si>
    <t>зачет целевых</t>
  </si>
  <si>
    <t>зачет текущего 70%</t>
  </si>
  <si>
    <t>текущих</t>
  </si>
  <si>
    <t>целевых</t>
  </si>
  <si>
    <t>Получены 
АВАНСЫ</t>
  </si>
  <si>
    <t>текущие</t>
  </si>
  <si>
    <t>целевые</t>
  </si>
  <si>
    <t xml:space="preserve">ЗАЧЕТ  </t>
  </si>
  <si>
    <t>текущих 
АВАНСОВ</t>
  </si>
  <si>
    <t>целевых
АВАНСОВ</t>
  </si>
  <si>
    <t>мериалов 
ЗАКАЗЧИКА</t>
  </si>
  <si>
    <t>Поступления
К
ОПЛАТЕ</t>
  </si>
  <si>
    <t>Отработка</t>
  </si>
  <si>
    <t>ИЮЛЬ</t>
  </si>
  <si>
    <t>АВГУСТ</t>
  </si>
  <si>
    <t>ОСТАТОК</t>
  </si>
  <si>
    <t>АВАНС</t>
  </si>
  <si>
    <t>Ожидаемое
выполнение</t>
  </si>
  <si>
    <t>Зачёт
АВАНСА</t>
  </si>
  <si>
    <t>К оплате</t>
  </si>
  <si>
    <t>№3</t>
  </si>
  <si>
    <t>№4</t>
  </si>
  <si>
    <t>А/д Н-4095 Центролит - Урицкое - Уваровичи, км3,840- км 5,4</t>
  </si>
  <si>
    <t>А/д Н-4095 Центролит - Урицкое - Уваровичи, км1,073- км 3,840</t>
  </si>
  <si>
    <t>Бой бетона, ГРУНТ ПО МЕСТУ
МАТЕРИАЛЫ ОТ РАЗБОРКИ, м3</t>
  </si>
  <si>
    <t>ОСТАТОК ГОДОВОГО ЛИМИТА</t>
  </si>
  <si>
    <t>руб.</t>
  </si>
  <si>
    <t>план на ОКТЯБРЬ</t>
  </si>
  <si>
    <t>Текущий ремонт местные дороги</t>
  </si>
  <si>
    <t>Текущий ремонт улицы</t>
  </si>
  <si>
    <t>в том числе субподряд СТ 14</t>
  </si>
  <si>
    <t>ТЕКУЩИЙ РЕМОНТ ДОРОГ</t>
  </si>
  <si>
    <t>ТЕКУЩИЙ РЕМОНТ УЛИЦ</t>
  </si>
  <si>
    <t>ФБС 24.4.6, ШТ</t>
  </si>
  <si>
    <t>Опоры освещений СКЦ 11,5-34, ШТ</t>
  </si>
  <si>
    <t>БЕТОН  крупность 20 мм, В20 F300 W8, м3</t>
  </si>
  <si>
    <t>ТРУБА СТАЛЬНАЯ ГОФРИР. НС 2TC-3.0-2000-33400-В , п.м.</t>
  </si>
  <si>
    <t>отходы бетона на ГГДРСТ</t>
  </si>
  <si>
    <t>Потребность средств для
 оплаты ЖелДорТранс за ст.Центролит</t>
  </si>
  <si>
    <t>ИНЕРТНЫЕ под ОСНОВАНИЯ</t>
  </si>
  <si>
    <t>ИНЕРТНЫЕ под А/Бетон</t>
  </si>
  <si>
    <t>Кол-во,
м3</t>
  </si>
  <si>
    <t>Кол-во,
тонн</t>
  </si>
  <si>
    <t xml:space="preserve">щебень 5-10 </t>
  </si>
  <si>
    <t>щебень 5-20</t>
  </si>
  <si>
    <t>щебень 20-40</t>
  </si>
  <si>
    <t>щебень 20-70</t>
  </si>
  <si>
    <t>ЩПС С-2 готовая</t>
  </si>
  <si>
    <t>ШПС С-12 готовая</t>
  </si>
  <si>
    <t>Остев</t>
  </si>
  <si>
    <t xml:space="preserve">щебень 5-20 </t>
  </si>
  <si>
    <t>ВСЕГО</t>
  </si>
  <si>
    <t>Наименование</t>
  </si>
  <si>
    <t>Стоимость,
из учета
8,51руб/1тн.,
руб.</t>
  </si>
  <si>
    <t>А/д Н-4103 Сосновка - Абакумы, км3,500 - км6,990</t>
  </si>
  <si>
    <t>Профилирование
обочин</t>
  </si>
  <si>
    <t>ИТОГО
стоимость
подряда,
руб.</t>
  </si>
  <si>
    <t>Ремонт
а/бетона</t>
  </si>
  <si>
    <t>0,200 - 0,612</t>
  </si>
  <si>
    <t>0,810 - 0,947</t>
  </si>
  <si>
    <t>1,263 - 1,650</t>
  </si>
  <si>
    <t>0,000 - 0,200</t>
  </si>
  <si>
    <t>1,650 - 2,328</t>
  </si>
  <si>
    <t>2,328 - 2,720</t>
  </si>
  <si>
    <t>1,640 остан.</t>
  </si>
  <si>
    <t>Укрепление обочин</t>
  </si>
  <si>
    <t>ВСЕГО:</t>
  </si>
  <si>
    <t xml:space="preserve">2,720 съезд </t>
  </si>
  <si>
    <t>Устрой.
а/бетона</t>
  </si>
  <si>
    <t>А/д Н-18195 Подъезд к д.Залипье от а/д Н-4095 Центролит - Урицкое - Уваровичи, км 0,000 - км 0,612; 0,810 - км 0,947; км 1,263 - км 2,720</t>
  </si>
  <si>
    <t>0,000 - 1,725</t>
  </si>
  <si>
    <t>1,825 - 2,710</t>
  </si>
  <si>
    <t>ЩПС С2
м3</t>
  </si>
  <si>
    <t>Вид
ремонта</t>
  </si>
  <si>
    <t>Адреса</t>
  </si>
  <si>
    <t>20-40 мм,
м3</t>
  </si>
  <si>
    <t>отсев,
м3</t>
  </si>
  <si>
    <t>ноябрь
2023</t>
  </si>
  <si>
    <t>Уровень
цен</t>
  </si>
  <si>
    <t>ЛИМИТ
(с 1,38%)</t>
  </si>
  <si>
    <t>А/д Н-4110 Пионер - Прибор - Урицкое, км 11,049 - км 11,834</t>
  </si>
  <si>
    <t>11,049 - 11,834</t>
  </si>
  <si>
    <t>ДОПОЛНИТЕЛЬНЫЕ ОБЪЕКТЫ  ПО МЕСТНОЙ СЕТИ</t>
  </si>
  <si>
    <t>А/д Н-4122  Прибор - Новая Буда, км 0,000 - км 1,725; км 1,825 - км 2,710</t>
  </si>
  <si>
    <t>СОДЕРЖАНИЕ</t>
  </si>
  <si>
    <t>Текущий ремонт улицы  Сосновая в р.п.Большевик (ч/з РИК)</t>
  </si>
  <si>
    <t>Текущий ремонт переулка от ул.Энгельса до ул.Сосоновой в р.п.Большевик   (ч/з РИК)</t>
  </si>
  <si>
    <t>Незапроцентованные остатки ОКТЯБРЯ</t>
  </si>
  <si>
    <t>в том числе: незапроцентованные остатки СЕНТЯБРЯ</t>
  </si>
  <si>
    <t>незапроцентованные остатки ОКТЯБРЯ</t>
  </si>
  <si>
    <t>Содержание местных автодорог</t>
  </si>
  <si>
    <t>Ремонт асфальтобетонных покрытий территории автопарка (АП-6)</t>
  </si>
  <si>
    <t>ДЕРЕВ автоавильон (шт)</t>
  </si>
  <si>
    <t>БАРЬЕРНОЕ ДО-11, п.м.</t>
  </si>
  <si>
    <t>ПЕРИЛЬНОЕ  ОМ-1, п.м.</t>
  </si>
  <si>
    <t>панели 3-D ограждения, шт</t>
  </si>
  <si>
    <t>стойки 3-D ограждения, шт</t>
  </si>
  <si>
    <t>Семена трав, кг.</t>
  </si>
  <si>
    <r>
      <t xml:space="preserve"> щебень, </t>
    </r>
    <r>
      <rPr>
        <b/>
        <sz val="12"/>
        <rFont val="Times New Roman"/>
        <family val="1"/>
        <charset val="204"/>
      </rPr>
      <t>40-70</t>
    </r>
    <r>
      <rPr>
        <sz val="12"/>
        <rFont val="Times New Roman"/>
        <family val="1"/>
        <charset val="204"/>
      </rPr>
      <t xml:space="preserve"> (м3)</t>
    </r>
  </si>
  <si>
    <t>Стойки дор. знаков 57мм(метал.) (шт)</t>
  </si>
  <si>
    <t>арматура S-500 д=8мм, т</t>
  </si>
  <si>
    <t>Техноэласт МОСТ, м2</t>
  </si>
  <si>
    <t>Сетка базальтовая, м2</t>
  </si>
  <si>
    <t>Автопавильтон МЕТАЛ</t>
  </si>
  <si>
    <t>Беседка ДЕРЕВ</t>
  </si>
  <si>
    <t>Тек. ремонт переулка от ул.Энгельса до ул.Сосоновой (ч/з РИК)</t>
  </si>
  <si>
    <t>Тек. ремонт ул.  Сосновая в р.п.Большевик (ч/з РИК)</t>
  </si>
  <si>
    <t xml:space="preserve">верхний слой покрытия ЩМБг20-I </t>
  </si>
  <si>
    <t>инертные для ЩПС 10 (20-40 + ЩПС С-12)</t>
  </si>
  <si>
    <t>- бетон для БР и трубы</t>
  </si>
  <si>
    <t>30.11.</t>
  </si>
  <si>
    <t>23.11.</t>
  </si>
  <si>
    <t>21.11.</t>
  </si>
  <si>
    <t>Получение 
АВАНСОВ
в НОЯБРЕ</t>
  </si>
  <si>
    <t>24.11.</t>
  </si>
  <si>
    <t>ПЛАН
сдачи
процен-
товки</t>
  </si>
  <si>
    <t>Текущий ремонт ул.Зайцева  в п.Чёнки</t>
  </si>
  <si>
    <t>А/д Н-4095 Центролит - Урицкое - Уваровичи, км3,840- км5,650</t>
  </si>
  <si>
    <t>отсев , м3</t>
  </si>
  <si>
    <t>арматура S240(A240) д=6мм, т</t>
  </si>
  <si>
    <t>грунтощебень на объект</t>
  </si>
  <si>
    <t>растительный грунт до 1 км</t>
  </si>
  <si>
    <t>1. СОБСТВЕННЫМИ СИЛАМИ ДРСУ №113</t>
  </si>
  <si>
    <t>2. ФИЛИАЛЫ КПРСУП "Гомельоблдорстрой"</t>
  </si>
  <si>
    <t>2.1. ГОДСК Н-4090 Северо-западный обход г. Гомеля, км 0,000 - км 4,240</t>
  </si>
  <si>
    <t>Всего по ДРСУ №113</t>
  </si>
  <si>
    <r>
      <rPr>
        <b/>
        <sz val="10"/>
        <color rgb="FF7030A0"/>
        <rFont val="Times New Roman"/>
        <family val="1"/>
        <charset val="204"/>
        <scheme val="minor"/>
      </rPr>
      <t xml:space="preserve">2.1. ГОДСК </t>
    </r>
    <r>
      <rPr>
        <sz val="10"/>
        <color rgb="FF7030A0"/>
        <rFont val="Times New Roman"/>
        <family val="1"/>
        <charset val="204"/>
        <scheme val="minor"/>
      </rPr>
      <t>Н-4090 Северо-западный обход г. Гомеля, км 0,000 - км 4,240</t>
    </r>
  </si>
  <si>
    <t>СМР в 2023 году</t>
  </si>
  <si>
    <r>
      <rPr>
        <b/>
        <sz val="10"/>
        <rFont val="Times New Roman"/>
        <family val="1"/>
        <charset val="204"/>
        <scheme val="minor"/>
      </rPr>
      <t xml:space="preserve">1.1. </t>
    </r>
    <r>
      <rPr>
        <sz val="10"/>
        <rFont val="Times New Roman"/>
        <family val="1"/>
        <charset val="204"/>
        <scheme val="minor"/>
      </rPr>
      <t xml:space="preserve"> А/д Н-18176 Подъезд к д.Займище от а/д Н-4092 Тереховка - Прокоповка - граница Украины, км 0,000 - км 3,420</t>
    </r>
  </si>
  <si>
    <t>1.1. А/д Н-18176 Подъезд к д.Займище от а/д Н-4092 Тереховка - Прокоповка - граница Украины, км 0,000 - км 3,420</t>
  </si>
  <si>
    <r>
      <t xml:space="preserve">1.1.  А/д Н-18176 Подъезд к д.Займище от а/д Н-4092 Тереховка - Прокоповка - граница Украины, км 0,000 - км 3,420 </t>
    </r>
    <r>
      <rPr>
        <b/>
        <sz val="12"/>
        <rFont val="Times New Roman"/>
        <family val="1"/>
        <charset val="204"/>
      </rPr>
      <t>(поставка материалов на ЦЕНТРОЛИТ)</t>
    </r>
  </si>
  <si>
    <t>А/д Н-18176 Подъезд к д.Займище от а/д Н-4092 Тереховка - Прокоповка - граница Украины, км 0,000 - км 3,420</t>
  </si>
  <si>
    <t>инертные для ЩПС 2 (20-40 + отсев)</t>
  </si>
  <si>
    <r>
      <rPr>
        <b/>
        <sz val="11"/>
        <rFont val="Arial"/>
        <family val="2"/>
        <charset val="204"/>
      </rPr>
      <t xml:space="preserve">Работы ДРСУ №154 - </t>
    </r>
    <r>
      <rPr>
        <sz val="11"/>
        <rFont val="Arial"/>
        <family val="2"/>
        <charset val="204"/>
      </rPr>
      <t>Н-4140 Мих-П.Зв-Мед-Войт, км0-км7,38</t>
    </r>
  </si>
  <si>
    <t>ИТОГО улицы на ЯНВАРЬ 2024г.</t>
  </si>
  <si>
    <t>Планируемые затраты по ст. Центролит
Желдортранс</t>
  </si>
  <si>
    <t>Поставка инертных
под объект</t>
  </si>
  <si>
    <t>Щебень 20-40мм</t>
  </si>
  <si>
    <t>Н-18176 Подъезд к д.Займище от а/д Н-4092</t>
  </si>
  <si>
    <t>Н-4136 Будище - Чаплин - Залесье</t>
  </si>
  <si>
    <t>Н-4140 Михайловск - Путеводная Звезда</t>
  </si>
  <si>
    <t>Центролит, км1,073- км 3,840</t>
  </si>
  <si>
    <t>Центролит, км3,840- км5,650</t>
  </si>
  <si>
    <t>ЩПС С4</t>
  </si>
  <si>
    <t>Щебень 5-20мм</t>
  </si>
  <si>
    <t>ЩПС С12</t>
  </si>
  <si>
    <t>Материал, ТОНН</t>
  </si>
  <si>
    <t>Материал, М3</t>
  </si>
  <si>
    <t>ФИЛИАЛ</t>
  </si>
  <si>
    <t xml:space="preserve">Стоимость услуг </t>
  </si>
  <si>
    <t>Вагонов</t>
  </si>
  <si>
    <t>выгрузка за 1тн</t>
  </si>
  <si>
    <t>перемещение за 1 тн.</t>
  </si>
  <si>
    <t>уборка вагонов за 1 тн.</t>
  </si>
  <si>
    <t>погрузка в автотр. за 1 тн.</t>
  </si>
  <si>
    <t>за 1 тонну</t>
  </si>
  <si>
    <t>за 1 вагон</t>
  </si>
  <si>
    <t>оформл. прибытия</t>
  </si>
  <si>
    <t>оформл подтвержд. накладные</t>
  </si>
  <si>
    <t>оформл проездных документов</t>
  </si>
  <si>
    <t>подписание ОТФ (памятка)</t>
  </si>
  <si>
    <t>Планируемое Количество вагонов</t>
  </si>
  <si>
    <t>шт.</t>
  </si>
  <si>
    <t>сут.</t>
  </si>
  <si>
    <t>хранение на площ. 0,49 руб.</t>
  </si>
  <si>
    <t>А/д Н-4140 Михайловск - Путеводная Звезда - Медведица - Войтин, км 0,000 - км 7,380</t>
  </si>
  <si>
    <t>А/д Н-4100 Цыкуны - Рудня Каменева, км 27,160 - км 34,340</t>
  </si>
  <si>
    <t>Стат
инд.
к 01.01.24</t>
  </si>
  <si>
    <t>СМР
2022
в ценах
2022г.</t>
  </si>
  <si>
    <t>СМР
2023
в ценах
2023г.</t>
  </si>
  <si>
    <t>ОБЩИЙ
СМР
2022
в ценах
2022г.</t>
  </si>
  <si>
    <t>ОБЩИЙ
СМР
2023
в ценах
2023г.</t>
  </si>
  <si>
    <t>в том числе
СМР
содержания
дорог
в ценах
2023г.</t>
  </si>
  <si>
    <t>в том числе
СМР
содержания
улиц
в ценах
2023г.</t>
  </si>
  <si>
    <t>СМР
без СОДЕРЖАНИЯ
в ценах
2023г.</t>
  </si>
  <si>
    <t>РАСЧЁТ ПЛАНОВОГО ПОКАЗАТЕЛЯ СМР НА 2024 ГОД
для доведения плановых показателей по кварталам</t>
  </si>
  <si>
    <t>январь
 2023</t>
  </si>
  <si>
    <t>ферваль
 2023</t>
  </si>
  <si>
    <t>март
2023</t>
  </si>
  <si>
    <t>апрель
2023</t>
  </si>
  <si>
    <t>май
2023</t>
  </si>
  <si>
    <t>июнь
2023</t>
  </si>
  <si>
    <t>июль
2023</t>
  </si>
  <si>
    <t>август
2023</t>
  </si>
  <si>
    <t>сентябрь
2023</t>
  </si>
  <si>
    <t>октябрь
2023</t>
  </si>
  <si>
    <t>декабрь
2023</t>
  </si>
  <si>
    <t>СМР 2023
на 01.01.24</t>
  </si>
  <si>
    <t>СМР 2023г в сопоставимых ценах +6%</t>
  </si>
  <si>
    <t>СМР 2023
в сопоста-
вимых ценах</t>
  </si>
  <si>
    <t>ПЛАН
СМР на
2024год</t>
  </si>
  <si>
    <t>% к СМР
в ценах 
2023г.</t>
  </si>
  <si>
    <t>СОГЛАСОВАНО:</t>
  </si>
  <si>
    <t>Председатель Гомельского
районного исполнительного комитета</t>
  </si>
  <si>
    <t>Генеральный директор 
КПРСУП "Гомельоблдорстрой"</t>
  </si>
  <si>
    <t>___________________ Д.И. Козел</t>
  </si>
  <si>
    <t>___________________  И.И. Кравченко</t>
  </si>
  <si>
    <t>Программа работ по реконструкции, капитальному и текущему ремонтам</t>
  </si>
  <si>
    <r>
      <t>местных автомобильных дорог и мостов на 2024 год по ДРСУ №</t>
    </r>
    <r>
      <rPr>
        <b/>
        <u/>
        <sz val="22"/>
        <rFont val="Times New Roman"/>
        <family val="1"/>
        <charset val="204"/>
      </rPr>
      <t xml:space="preserve"> 113 (Гомельский  район)</t>
    </r>
  </si>
  <si>
    <t xml:space="preserve">   Наименование объекта</t>
  </si>
  <si>
    <t>Получены
АВАНСЫ в 2023г., 
.руб.</t>
  </si>
  <si>
    <t>ПЛАН
ДРСУ №113, 
.руб.</t>
  </si>
  <si>
    <t>ПЛАН от 
КПРСУП, 
.руб.</t>
  </si>
  <si>
    <t>СОГЛАСОВ.
ПЛАН
на 2024 год, 
.руб.</t>
  </si>
  <si>
    <t>Источник финансирования</t>
  </si>
  <si>
    <t>РЕШЕНИЕ
на 2024 год, 
.руб.</t>
  </si>
  <si>
    <t>Разметка, км дорог</t>
  </si>
  <si>
    <t>Тротуары, км</t>
  </si>
  <si>
    <t>Ограждения 
1 группы, км</t>
  </si>
  <si>
    <t>Разворотное кольцо, шт.</t>
  </si>
  <si>
    <t>Автоб. остановки, (пос.площадки) шт.</t>
  </si>
  <si>
    <t>в т.ч.: автопавильоны, шт.</t>
  </si>
  <si>
    <t>Трубы</t>
  </si>
  <si>
    <t>Примечание</t>
  </si>
  <si>
    <t>Уровень Цен</t>
  </si>
  <si>
    <t>Стоимость
без затрат ЗАКАЗЧИКА,
руб.</t>
  </si>
  <si>
    <t>Прогноз 
Стоимости
без затрат ЗАКАЗЧИКА
на 01.01.2024,
руб.</t>
  </si>
  <si>
    <t>Прогноз 
Стоимости
без затрат ЗАКАЗЧИКА
на 01.01.2024
с инфляцией 10%,
руб.</t>
  </si>
  <si>
    <t>Прогноз 
Стоимости
с затратами
ЗАКАЗЧИКА
1,38%,
руб.</t>
  </si>
  <si>
    <t>П/о,  км</t>
  </si>
  <si>
    <t>ремонт а/б покрытия, км</t>
  </si>
  <si>
    <t>устройство а/б покрытия, км</t>
  </si>
  <si>
    <t>регенерация, 
км</t>
  </si>
  <si>
    <t>рем. гравийных покрытий, км</t>
  </si>
  <si>
    <t>рем. грунтовых дорог, км</t>
  </si>
  <si>
    <t>одиночная</t>
  </si>
  <si>
    <t>один. с выр.</t>
  </si>
  <si>
    <t>двойная</t>
  </si>
  <si>
    <t>Реконструкция</t>
  </si>
  <si>
    <t>А/д Н-4095 Центролит - Урицкое - Уваровичи, км 1,073- км 3,840</t>
  </si>
  <si>
    <t>незавершённые работы 2023г.</t>
  </si>
  <si>
    <r>
      <t>А/д Н-4090 Северо-западный обход г. Гомеля (от а/д М –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8 /П7 Подъезд к г. Гомелю от автомобильной дороги М – 8/Е 95 до а/д М – 10/П1 Подъезд к г. Гомелю от автомобильной дороги  М – 10); км 9,278 - км 12,118 </t>
    </r>
  </si>
  <si>
    <t>субвенции</t>
  </si>
  <si>
    <r>
      <rPr>
        <b/>
        <sz val="14"/>
        <rFont val="Times New Roman"/>
        <family val="1"/>
        <charset val="204"/>
      </rPr>
      <t>Разработка ПСД</t>
    </r>
    <r>
      <rPr>
        <sz val="14"/>
        <rFont val="Times New Roman"/>
        <family val="1"/>
        <charset val="204"/>
      </rPr>
      <t xml:space="preserve">  - Ширина 15 м
выравнив. 6,0см + верхний 4,0см
борт + тротуары+ ограждения</t>
    </r>
  </si>
  <si>
    <t>А/д Н-18409 Подъезд к военно-историческому комплексу "Партизанская криничка" от а/д М - 8 / П 7 Подъезд к г. Гомелю от автомобильной дороги М – 8/Е 95 Граница Российской Федерации (Езерище) - Витебск - Гомель - граница Украины (Новая Гута), км ….. - км .....</t>
  </si>
  <si>
    <t>освещение</t>
  </si>
  <si>
    <t>А/д Н-4958 Рудня Каменева - Первомайск - Кошовое - Подречицкое, км 5,600 - км 7,600</t>
  </si>
  <si>
    <t>Досыпка насыпи песком 
Гравий 10 м толщина 18см</t>
  </si>
  <si>
    <t>А/д Н-4095 Центролит - Урицкое - Уваровичи, км 0,080, мост через ручей</t>
  </si>
  <si>
    <r>
      <rPr>
        <b/>
        <sz val="14"/>
        <rFont val="Times New Roman"/>
        <family val="1"/>
        <charset val="204"/>
      </rPr>
      <t>Разработка ПСД</t>
    </r>
    <r>
      <rPr>
        <sz val="14"/>
        <rFont val="Times New Roman"/>
        <family val="1"/>
        <charset val="204"/>
      </rPr>
      <t xml:space="preserve">
разб.моста 11,21м; устр.трубы</t>
    </r>
  </si>
  <si>
    <t>Устрйство стационарного освещения на участке а/д Н-18169 Подъезд к п.Поляна от а/д Н-4091 Новобелица - Чёнки до а/д М-8 / Е 95 Граница Российской Федерации (Езерище) - Витебск - Гомель - граница Украины (Новая Гута), км 0,000 - км 0,450</t>
  </si>
  <si>
    <r>
      <rPr>
        <b/>
        <sz val="14"/>
        <rFont val="Times New Roman"/>
        <family val="1"/>
        <charset val="204"/>
      </rPr>
      <t>Разработка ПСД</t>
    </r>
    <r>
      <rPr>
        <sz val="14"/>
        <rFont val="Times New Roman"/>
        <family val="1"/>
        <charset val="204"/>
      </rPr>
      <t>:  рем. Грав. = 5,0см
Ширина а\б = 6,0м; Hа/б=6,0см
Освещение,  Борт 450м.обочины 0,50м</t>
    </r>
  </si>
  <si>
    <t>Капитальный ремонт</t>
  </si>
  <si>
    <t>II пусковой +
сезонные работы I пускового</t>
  </si>
  <si>
    <t>РЕМОНТ  Моста 42,3м.</t>
  </si>
  <si>
    <t>А/д Н-18351 Подъезд к д.Новые Терешковичи от а/д М-8 / Е 95 Граница Российской Федерации (Езерище) - Витебск - Гомель - граница Украины (Новая Гута), км 6,125 - км 8,425</t>
  </si>
  <si>
    <t>Досыпка насыпи; рем. Грав. = 4,0см;
Ширина а\б = 7,0м; Hа/б=4,0 + 6,0см; обоч. 1,5м</t>
  </si>
  <si>
    <t>ИТОГО капитальные</t>
  </si>
  <si>
    <t>Текущий ремонт</t>
  </si>
  <si>
    <t>Нанесение горизонтальной  разметки на местных автомобильных дорогах района</t>
  </si>
  <si>
    <t>областной</t>
  </si>
  <si>
    <t>РАЗМЕТКА</t>
  </si>
  <si>
    <t>км</t>
  </si>
  <si>
    <t>на сентябрь 2023</t>
  </si>
  <si>
    <t>на 01.01.2024</t>
  </si>
  <si>
    <t>А/д Н-18172 Подъезд к д.Севруки от а/д Н-4091 Новобелица - Чёнки до а/д М-8 / Е 95 Граница Российской Федерации (Езерище) - Витебск - Гомель - граница Украины (Новая Гута), км 1,000 - км 2,300</t>
  </si>
  <si>
    <t>Устройство Гравий
В=4,5м  м толщина 16см</t>
  </si>
  <si>
    <t xml:space="preserve">А/д Н-4136 Будище - Чаплин - Залесье, км 0,000 - км 4,000  </t>
  </si>
  <si>
    <t>Получены АВАНСЫ в 2023 году</t>
  </si>
  <si>
    <t>А/д Н-18176 Подъезд к д.Займище от а/д Н-4092 Тереховка - Прокоповка - гр. Украины, км 0,000 - км 3,420</t>
  </si>
  <si>
    <t>А/д Н-18243 Подъезд к п.Дубовец от а/д Н-4101 Мирный - Долголесье - Нагорное, км 0,000 - км 3,000</t>
  </si>
  <si>
    <t>А/д Н-18187 Подъезд к п.Дубино от а/д Н-4094 Рудня-Прибытковская - Глыбоцкое, км 0,000 - км 2,000</t>
  </si>
  <si>
    <t>Незавершен. в 2023 году</t>
  </si>
  <si>
    <t>А/д Н-4090 Северо-западный обход г. Гомеля (от а/д М – 8 /П7 Подъезд к г. Гомелю от а/д М – 8/Е 95 до а/д М – 10/П1 Подъезд к г. Гомелю от а/д  М – 10), км 0,000 - км 4,240</t>
  </si>
  <si>
    <t>А/д Н-4091 Новобелица - Чёнки до а/д М-8 Граница РФ (Езерище) - Витебск -Гомель - гр. Украины (Новая Гута), км 2,580</t>
  </si>
  <si>
    <t>А/д Н-4098 Гомель - Лопатино- Остров, км 15,415 – км 15,540; км 17,240</t>
  </si>
  <si>
    <t>А/д Н-4111 Костюковка - Новая Жизнь, км 1,370 - км 2,200, км 2,500 - км 3,503, км 3,803 - км 4,315, км 5,324</t>
  </si>
  <si>
    <t>РДФ</t>
  </si>
  <si>
    <t>рем. Грав. = 1,0см
Ширина а\б = 7,0м Hа/б=6,0см; обоч. 1,5м</t>
  </si>
  <si>
    <r>
      <t xml:space="preserve">А/д Н-18351 Подъезд к д.Новые Терешковичи от а/д М-8 / Е 95 Граница Российской Федерации (Езерище) - Витебск - Гомель - граница Украины (Новая Гута), </t>
    </r>
    <r>
      <rPr>
        <strike/>
        <sz val="14"/>
        <color indexed="10"/>
        <rFont val="Times New Roman"/>
        <family val="1"/>
        <charset val="204"/>
      </rPr>
      <t>км 0,000 - км 3,409, км 3,689 - км 4,135, км 4,837 - км 6,125</t>
    </r>
    <r>
      <rPr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км 6,125 - км 8,425</t>
    </r>
  </si>
  <si>
    <t>Ширина а\б = 7,0м;Hа/б=5,0см
обочины 0,75м</t>
  </si>
  <si>
    <t>1 000
5,0</t>
  </si>
  <si>
    <t>м2
см</t>
  </si>
  <si>
    <t>на ноябрь  2023</t>
  </si>
  <si>
    <t>А/д Н-18169 Подъезд к п.Поляна от а/д Н-4091 Новобелица - Чёнки до а/д М-8 / Е 95 Граница Российской Федерации (Езерище) - Витебск - Гомель - граница Украины (Новая Гута), км 0,000 - км 0,450</t>
  </si>
  <si>
    <t>рем. Грав. = 5,0см
Ширина а\б = 6,0м; Hа/б=6,0см
Борт 450м.обочины 0,50м</t>
  </si>
  <si>
    <t>автопавильон</t>
  </si>
  <si>
    <t>А/д Н-18248 Подъезд к п.Ильич от а/д Н-4102 Новобелица - Кленки - Рудня Споницкая, км 0,000 - км 0,498</t>
  </si>
  <si>
    <t>пеш. дорожка</t>
  </si>
  <si>
    <t>А/д Н-4094 Рудня Прибытковская - Глыбоцкое, км 0,040 - км 2,857; км 2,933 - км 4,172; км 4,413 - км 6,067; км 6,371 - км 6,673; км 7,085 - км 8,901; км 9,166 - км 9,356; км 9,495 - км 9,587; км 9,631 - км 9,952; км 27,614 - км 27,760; км 30,306 - км 30,691</t>
  </si>
  <si>
    <t>Ширина а\б = 6,5м
Hа/б=5,0см
обочины 1,0м</t>
  </si>
  <si>
    <t>Ремонт
гравий</t>
  </si>
  <si>
    <t>1 000
10,0</t>
  </si>
  <si>
    <t>на январь  2023</t>
  </si>
  <si>
    <t>А/д Н-4092 Тереховка - Прокоповка - граница Украины, км 10,300 - км 11,810; км 12,019 - км 12,100; км 12,453 - км 13,348; км 13,722 - км 14,294; км 14,757 - км 16,200</t>
  </si>
  <si>
    <t>Ширина а\б = 6,5м; Hа/б=5,0см
обочины 1,0м</t>
  </si>
  <si>
    <t>тротуар 1,5м
без борта</t>
  </si>
  <si>
    <t>на июнь  2023</t>
  </si>
  <si>
    <t>А/д Н-4103 Сосновка - Абакумы км 28,285 - км 29,923; км 34,843 - км 35,709; км 36,707 - км 37,370; км 38,287 - км 38,658; км 39,215 - км 39,428; км 41,414 - км 41,473; км 42,021 - км 43,374; км 43,467 - км 43,555; км 43,616 - км 43,786; км 44,237 - км 44,459; км 45,264 - км 45,490; км 52,480 - км 52,518; км 53,755 - км 56,340</t>
  </si>
  <si>
    <t>Ширина а\б = 6,5м; Hа/б=5,0см
обочины 0,75м</t>
  </si>
  <si>
    <t>Укрепление
обочин</t>
  </si>
  <si>
    <t>1 000
6,0</t>
  </si>
  <si>
    <t>А/д Н-4096 Гомель - Зябровка - Прибытки, км 14,203 - км 15,736; км 15,924 - км 16,020; км 16,480 - км 17,414; км 17,518 - км 17,663; км 20,512 - км 20,669, (км 17,6 - км 17,94 тротуар)</t>
  </si>
  <si>
    <t>Ширина а\б = 6,5м; Hа/б=5,0см
тротуар с бортом 340м; обочины 0,75м</t>
  </si>
  <si>
    <t>Актобусная
остановка</t>
  </si>
  <si>
    <t>А/д Н-4109 Гомель - Залядье, км 0,000 - км 5,727</t>
  </si>
  <si>
    <t>Ширина а\б = 7,0м; Hа/б=4,9см
обочины 0,5м</t>
  </si>
  <si>
    <t>перильное</t>
  </si>
  <si>
    <t>рем. Грав. = 2,0см
Ширина а\б = 7,0м; Hа/б=6,0см; обоч. 0,5м</t>
  </si>
  <si>
    <t>барьерное</t>
  </si>
  <si>
    <t>А/д Н-4095 Центролит - Урицкое - Уваровичи, км 12,860- км 13,470</t>
  </si>
  <si>
    <t>тротуар по Ст. Белицы</t>
  </si>
  <si>
    <t>А/д Н-18353 Подъезд к д.Ольховка через п.Осовино от а/д М-8 / Е 95 Граница Российской Федерации (Езерище) - Витебск - Гомель - граница Украины (Новая Гута), км 0,000 - км 4,500</t>
  </si>
  <si>
    <t>Гравий В=4,5м  Н=9,5см
Грунт В=4,5м  Н=18см</t>
  </si>
  <si>
    <t>ИТОГО текущие</t>
  </si>
  <si>
    <t>ВСЕГО по Гомельскому  району</t>
  </si>
  <si>
    <t xml:space="preserve">труба </t>
  </si>
  <si>
    <t>Директор    Филиала Гомельское ДРСУ № 113</t>
  </si>
  <si>
    <t>подпись</t>
  </si>
  <si>
    <t>реконструкция</t>
  </si>
  <si>
    <t xml:space="preserve">капитальный </t>
  </si>
  <si>
    <t>Кол.
а/бетона</t>
  </si>
  <si>
    <t>ЩМБ,
тонн</t>
  </si>
  <si>
    <t>ПГ,
тонн</t>
  </si>
  <si>
    <t>ЩКП,
тонн</t>
  </si>
  <si>
    <r>
      <rPr>
        <b/>
        <sz val="12"/>
        <rFont val="Times New Roman"/>
        <family val="1"/>
        <charset val="204"/>
      </rPr>
      <t>ГРУНТ растительный</t>
    </r>
    <r>
      <rPr>
        <sz val="12"/>
        <rFont val="Times New Roman"/>
        <family val="1"/>
        <charset val="204"/>
      </rPr>
      <t>,
м3</t>
    </r>
  </si>
  <si>
    <r>
      <rPr>
        <b/>
        <sz val="12"/>
        <rFont val="Times New Roman"/>
        <family val="1"/>
        <charset val="204"/>
      </rPr>
      <t>ПГС (от разборки)</t>
    </r>
    <r>
      <rPr>
        <sz val="12"/>
        <rFont val="Times New Roman"/>
        <family val="1"/>
        <charset val="204"/>
      </rPr>
      <t>,
м3</t>
    </r>
  </si>
  <si>
    <t>лита ПН-15, шт</t>
  </si>
  <si>
    <t>лита ПН-10, шт</t>
  </si>
  <si>
    <t>лита ПН-20, шт</t>
  </si>
  <si>
    <t>Кольцо стеновое КС 10.9, шт</t>
  </si>
  <si>
    <t>Кольцо стеновое КС 10.6, шт</t>
  </si>
  <si>
    <t>Кольцо стеновое КС 10.3, шт.</t>
  </si>
  <si>
    <t>Кольцо КС-10.3 шт</t>
  </si>
  <si>
    <t>Плита перекрытия КЦПЗ-10, шт</t>
  </si>
  <si>
    <t>Кольцо стеновое КО6, шт.</t>
  </si>
  <si>
    <t>Кольцо стеновое КС 7.3, шт.</t>
  </si>
  <si>
    <t>КОЛОДЦЫ</t>
  </si>
  <si>
    <r>
      <rPr>
        <b/>
        <sz val="10"/>
        <rFont val="Times New Roman"/>
        <family val="1"/>
        <charset val="204"/>
        <scheme val="minor"/>
      </rPr>
      <t xml:space="preserve">1.2. </t>
    </r>
    <r>
      <rPr>
        <sz val="10"/>
        <rFont val="Times New Roman"/>
        <family val="1"/>
        <charset val="204"/>
        <scheme val="minor"/>
      </rPr>
      <t>А/д Н-4136 Будище - Чаплин - Залесье, км 0,000 - км 4,000</t>
    </r>
  </si>
  <si>
    <t>А/д Н-4136 Буд - Чапл - Залесье, км0,000 -км 4,000</t>
  </si>
  <si>
    <r>
      <t xml:space="preserve">1.2. А/д Н-4136 Будище - Чаплин - Залесье, км 0,000 - км 4,000 </t>
    </r>
    <r>
      <rPr>
        <b/>
        <sz val="12"/>
        <rFont val="Times New Roman"/>
        <family val="1"/>
        <charset val="204"/>
        <scheme val="minor"/>
      </rPr>
      <t>(поставка материалов на ЦЕНТРОЛИТ)</t>
    </r>
  </si>
  <si>
    <t>2.2. ДРСУ №154   А/д Н-4140 Михайловск - Путеводная Звезда - Медведица – Войтин, км 0,000 - км 7,380</t>
  </si>
  <si>
    <t>Ремонт внутризаводских дорог и площадок асфальтобетонных (инв.№1230621) на территории ОАО «Гомельский химический завод» в городе Гомеле, ул.Химзаводская,5</t>
  </si>
  <si>
    <t>А/д Н-4103 Сосновка – Абакумы, км 28,285 - км 29,923; км 34,843 - км 35,709; км 36,707 - км 37,370; км 38,287 - км 38,658; км 39,215 - км 39,428; км 41,414 - км 41,473; км 42,021 - км 43,374; км 43,467 - км 43,555; км 43,616 - км 43,786; км 44,237 - км 44,459; км 45,264 - км 45,490; км 52,480 - км 52,518; км 53,755 - км 56,340</t>
  </si>
  <si>
    <t>А/д Н-18351 Подъезд к д. Новые Терешковичи от а/д М-8/Е95 Граница гр. РФ (Езерище) - Витебск - Гомель - гр. Украины (Новая Гута), км 0,000 - км 3,409; км 3,689 - км 4,135; км 4,837 - км 6,125</t>
  </si>
  <si>
    <t>МАРТ 2024г.</t>
  </si>
  <si>
    <t>1.3. А/д Н-4103 Сосновка - Абакумы, км 28,285 - ... - км 56,340</t>
  </si>
  <si>
    <r>
      <rPr>
        <b/>
        <sz val="10"/>
        <rFont val="Times New Roman"/>
        <family val="1"/>
        <charset val="204"/>
        <scheme val="minor"/>
      </rPr>
      <t>1.3.</t>
    </r>
    <r>
      <rPr>
        <sz val="10"/>
        <rFont val="Times New Roman"/>
        <family val="1"/>
        <charset val="204"/>
        <scheme val="minor"/>
      </rPr>
      <t xml:space="preserve"> А/д Н-</t>
    </r>
    <r>
      <rPr>
        <sz val="10"/>
        <color rgb="FFFF0000"/>
        <rFont val="Times New Roman"/>
        <family val="1"/>
        <charset val="204"/>
        <scheme val="minor"/>
      </rPr>
      <t>4103</t>
    </r>
    <r>
      <rPr>
        <sz val="10"/>
        <rFont val="Times New Roman"/>
        <family val="1"/>
        <charset val="204"/>
        <scheme val="minor"/>
      </rPr>
      <t xml:space="preserve"> Сосновка - Абакумы, км 28,285 - ... - км 56,340</t>
    </r>
  </si>
  <si>
    <t>укладка а/бетона</t>
  </si>
  <si>
    <t>Программа  по содержанию на  МАРТ 2024г.</t>
  </si>
  <si>
    <t>ИТОГО дороги на МАРТ 2024г</t>
  </si>
  <si>
    <t>ВСЕГО на МАРТ с учётом ОСТАТКОВ</t>
  </si>
  <si>
    <t>Незапроцентованные остатки ФЕВРАЛЯ</t>
  </si>
  <si>
    <t xml:space="preserve">на  МАРТ  2024 Г. ПО ДРСУ-113 </t>
  </si>
  <si>
    <r>
      <rPr>
        <b/>
        <sz val="10"/>
        <rFont val="Times New Roman"/>
        <family val="1"/>
        <charset val="204"/>
        <scheme val="minor"/>
      </rPr>
      <t>1.4.</t>
    </r>
    <r>
      <rPr>
        <sz val="10"/>
        <rFont val="Times New Roman"/>
        <family val="1"/>
        <charset val="204"/>
        <scheme val="minor"/>
      </rPr>
      <t xml:space="preserve"> А/д Н-18351 П-зд к д. Новые Терешковичи от а/д М-8, км0,0 - км3,409; км3,689 - км4,135; км4,837 - км6,125                             </t>
    </r>
    <r>
      <rPr>
        <sz val="8"/>
        <rFont val="Times New Roman"/>
        <family val="1"/>
        <charset val="204"/>
        <scheme val="minor"/>
      </rPr>
      <t>(фрезерование 37 324,8м2)</t>
    </r>
  </si>
  <si>
    <t>1.2.А/д Н-4136 Будище - Чаплин - Залесье, км 0,000 - км 4,000</t>
  </si>
  <si>
    <t>1.4. А/д Н-18351 П-зд к д. Новые Терешковичи от а/д М-8, км0,0 - км3,409; км3,689 - км4,135; км4,837 - км6,125</t>
  </si>
  <si>
    <t>"____" __________________ 2024 г.</t>
  </si>
  <si>
    <t>2 патчера по 62 м2/смену</t>
  </si>
  <si>
    <t>Таркретирование опор (86 м2) и плит (308 м2)</t>
  </si>
  <si>
    <t>доведённый показатель 100%</t>
  </si>
  <si>
    <r>
      <rPr>
        <b/>
        <sz val="10"/>
        <color rgb="FF7030A0"/>
        <rFont val="Times New Roman"/>
        <family val="1"/>
        <charset val="204"/>
        <scheme val="minor"/>
      </rPr>
      <t>2.2. ДРСУ №154</t>
    </r>
    <r>
      <rPr>
        <sz val="10"/>
        <color rgb="FF7030A0"/>
        <rFont val="Times New Roman"/>
        <family val="1"/>
        <charset val="204"/>
        <scheme val="minor"/>
      </rPr>
      <t xml:space="preserve"> А/д Н-4140 Михайловск - Путеводная Звезда - Медведица – Войтин, км 0,000 - км 7,380</t>
    </r>
  </si>
  <si>
    <r>
      <rPr>
        <b/>
        <sz val="10"/>
        <color rgb="FF7030A0"/>
        <rFont val="Times New Roman"/>
        <family val="1"/>
        <charset val="204"/>
        <scheme val="minor"/>
      </rPr>
      <t>2.1. ДРСУ №152</t>
    </r>
    <r>
      <rPr>
        <sz val="10"/>
        <color rgb="FF7030A0"/>
        <rFont val="Times New Roman"/>
        <family val="1"/>
        <charset val="204"/>
        <scheme val="minor"/>
      </rPr>
      <t xml:space="preserve"> А/д Н-4136 Будище - Чаплин - Залесье, км 0,000 - км 4,000</t>
    </r>
  </si>
  <si>
    <t>2.1. ДРСУ №152 А/д Н-4136 Будище - Чаплин - Залесье, км 0,000 - км 4,000</t>
  </si>
  <si>
    <t>2.3. ДРСУ №150 А/д Н-18187 Подъезд к п.Дубино, км0 - км2 (поставка на ДРСУ №150)</t>
  </si>
  <si>
    <t>СМР 2024</t>
  </si>
  <si>
    <t>КВ 2024</t>
  </si>
  <si>
    <t>3. СОБСТВЕННЫМИ СИЛАМИ ДРСУ №113</t>
  </si>
  <si>
    <t>3.1. ДРСУ №185 велодор А/д Н-4095 Центр- Уриц - Увар, км1,073- км 3,84</t>
  </si>
  <si>
    <t xml:space="preserve">1.4. А/д Н-18351 П-зд к д. Новые Терешковичи от а/д М-8, км0,0 - км3,409; км3,689 - км4,135; км4,837 - км6,125   </t>
  </si>
  <si>
    <r>
      <rPr>
        <b/>
        <sz val="12"/>
        <color rgb="FF7030A0"/>
        <rFont val="Times New Roman"/>
        <family val="1"/>
        <charset val="204"/>
        <scheme val="minor"/>
      </rPr>
      <t xml:space="preserve">2.1. ДРСУ №152 </t>
    </r>
    <r>
      <rPr>
        <sz val="12"/>
        <color rgb="FF7030A0"/>
        <rFont val="Times New Roman"/>
        <family val="1"/>
        <charset val="204"/>
        <scheme val="minor"/>
      </rPr>
      <t>А/д Н-4136 Будище - Чаплин - Залесье, км 0,000 - км 4,000</t>
    </r>
    <r>
      <rPr>
        <b/>
        <sz val="12"/>
        <color rgb="FF7030A0"/>
        <rFont val="Times New Roman"/>
        <family val="1"/>
        <charset val="204"/>
        <scheme val="minor"/>
      </rPr>
      <t xml:space="preserve"> (поставка материалов на ЦЕНТРОЛИТ)</t>
    </r>
  </si>
  <si>
    <r>
      <rPr>
        <b/>
        <sz val="12"/>
        <color rgb="FF7030A0"/>
        <rFont val="Times New Roman"/>
        <family val="1"/>
        <charset val="204"/>
        <scheme val="minor"/>
      </rPr>
      <t>2.2. ДРСУ №154</t>
    </r>
    <r>
      <rPr>
        <sz val="12"/>
        <color rgb="FF7030A0"/>
        <rFont val="Times New Roman"/>
        <family val="1"/>
        <charset val="204"/>
        <scheme val="minor"/>
      </rPr>
      <t xml:space="preserve"> А/д Н-4140 Михайловск - Путеводная Звезда - Медведица – Войтин, км 0,000 - км 7,380
</t>
    </r>
    <r>
      <rPr>
        <b/>
        <sz val="12"/>
        <color rgb="FF7030A0"/>
        <rFont val="Times New Roman"/>
        <family val="1"/>
        <charset val="204"/>
        <scheme val="minor"/>
      </rPr>
      <t>(поставка материалов на ЦЕНТРОЛИТ)</t>
    </r>
  </si>
  <si>
    <r>
      <rPr>
        <b/>
        <sz val="12"/>
        <color rgb="FF7030A0"/>
        <rFont val="Times New Roman"/>
        <family val="1"/>
        <charset val="204"/>
      </rPr>
      <t>2.3. ДРСУ №150</t>
    </r>
    <r>
      <rPr>
        <sz val="12"/>
        <color rgb="FF7030A0"/>
        <rFont val="Times New Roman"/>
        <family val="1"/>
        <charset val="204"/>
      </rPr>
      <t xml:space="preserve"> А/д Н-18187 Подъезд к п.Дубино, км0 - км2 </t>
    </r>
    <r>
      <rPr>
        <b/>
        <sz val="12"/>
        <color rgb="FF7030A0"/>
        <rFont val="Times New Roman"/>
        <family val="1"/>
        <charset val="204"/>
      </rPr>
      <t>(поставка на ДРСУ №150)</t>
    </r>
  </si>
  <si>
    <r>
      <rPr>
        <b/>
        <sz val="12"/>
        <color rgb="FF7030A0"/>
        <rFont val="Times New Roman"/>
        <family val="1"/>
        <charset val="204"/>
      </rPr>
      <t>ДРСУ №185 велодор</t>
    </r>
    <r>
      <rPr>
        <sz val="12"/>
        <color rgb="FF7030A0"/>
        <rFont val="Times New Roman"/>
        <family val="1"/>
        <charset val="204"/>
      </rPr>
      <t xml:space="preserve"> А/д Н-4095 Центр- Уриц - Увар, км1,073- км 3,84</t>
    </r>
    <r>
      <rPr>
        <b/>
        <sz val="12"/>
        <color rgb="FF7030A0"/>
        <rFont val="Times New Roman"/>
        <family val="1"/>
        <charset val="204"/>
      </rPr>
      <t xml:space="preserve"> (поставка материалов на ЦЕНТРОЛИТ)</t>
    </r>
  </si>
  <si>
    <t>БЕТОН  крупность от 5 до 20 мм, С20/25, F200, W6, м3</t>
  </si>
  <si>
    <t>Полотно иглопробивное геотекстильн 450 г/м2,м2</t>
  </si>
  <si>
    <t>БЕТОН  крупность от 5 до 20 мм, С12/15, F100, W4, м3</t>
  </si>
  <si>
    <t>Люк чугунный лёгкий ТИП "Л"</t>
  </si>
  <si>
    <t>дождеприёмник ДМ 2
(В125)-2-40Х74</t>
  </si>
  <si>
    <t>БЕТОН</t>
  </si>
  <si>
    <t>песок ПОДКАМЕНЬЕ (под канализацию)</t>
  </si>
  <si>
    <t>113
152</t>
  </si>
  <si>
    <t>113
185</t>
  </si>
  <si>
    <t>Щебень 20-70мм</t>
  </si>
  <si>
    <t>ПОТРЕБНОСТЬ средств на МАРТ</t>
  </si>
  <si>
    <r>
      <rPr>
        <b/>
        <sz val="10"/>
        <color rgb="FF7030A0"/>
        <rFont val="Times New Roman"/>
        <family val="1"/>
        <charset val="204"/>
        <scheme val="minor"/>
      </rPr>
      <t>2.3. ДРСУ №150</t>
    </r>
    <r>
      <rPr>
        <sz val="10"/>
        <color rgb="FF7030A0"/>
        <rFont val="Times New Roman"/>
        <family val="1"/>
        <charset val="204"/>
        <scheme val="minor"/>
      </rPr>
      <t xml:space="preserve"> А/д Н-18187 П-зд к п.Дубино, км0 - км2 (поставка на ДРСУ №150)</t>
    </r>
  </si>
  <si>
    <r>
      <rPr>
        <b/>
        <sz val="10"/>
        <color rgb="FF7030A0"/>
        <rFont val="Times New Roman"/>
        <family val="1"/>
        <charset val="204"/>
        <scheme val="minor"/>
      </rPr>
      <t>ДРСУ №185 велодор</t>
    </r>
    <r>
      <rPr>
        <sz val="10"/>
        <color rgb="FF7030A0"/>
        <rFont val="Times New Roman"/>
        <family val="1"/>
        <charset val="204"/>
        <scheme val="minor"/>
      </rPr>
      <t xml:space="preserve"> А/д Н-4095 Центр- Уриц - Увар, км1,073- км 3,84</t>
    </r>
  </si>
  <si>
    <t>Расчёт потребности в транспорте на  МАРТ 2024г.</t>
  </si>
  <si>
    <t>фрезерование 19 972,6м2</t>
  </si>
  <si>
    <t>наименование населенного пункта</t>
  </si>
  <si>
    <t>организация застройщик</t>
  </si>
  <si>
    <t>КЖУП "Гомельский райжилкомхоз"</t>
  </si>
  <si>
    <t>п. Ильич</t>
  </si>
  <si>
    <t>аг. Урицкое</t>
  </si>
  <si>
    <t xml:space="preserve">Замена тепловых сетей в населенных пунктах Гомельского района в 2026 году </t>
  </si>
  <si>
    <t>д. Шарпиловка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</si>
</sst>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р_._-;\-* #,##0.00_р_._-;_-* &quot;-&quot;??_р_._-;_-@_-"/>
    <numFmt numFmtId="165" formatCode="0.0"/>
    <numFmt numFmtId="166" formatCode="0.000"/>
    <numFmt numFmtId="167" formatCode="0;[Red]0"/>
    <numFmt numFmtId="168" formatCode="#,##0;[Red]#,##0"/>
    <numFmt numFmtId="169" formatCode="#,##0.0"/>
    <numFmt numFmtId="170" formatCode="0.00000"/>
    <numFmt numFmtId="171" formatCode="0.00;[Red]0.00"/>
    <numFmt numFmtId="172" formatCode="0.0%"/>
    <numFmt numFmtId="173" formatCode="#,##0.00;[Red]#,##0.00"/>
    <numFmt numFmtId="174" formatCode="#,##0.000"/>
    <numFmt numFmtId="175" formatCode="#,##0.0000"/>
    <numFmt numFmtId="176" formatCode="0.0000"/>
    <numFmt numFmtId="177" formatCode="0.000;[Red]0.000"/>
    <numFmt numFmtId="178" formatCode="#,##0.0;[Red]#,##0.0"/>
  </numFmts>
  <fonts count="149" x14ac:knownFonts="1">
    <font>
      <sz val="10"/>
      <name val="Arial"/>
    </font>
    <font>
      <sz val="11"/>
      <color theme="1"/>
      <name val="Times New Roman"/>
      <family val="2"/>
      <charset val="1"/>
      <scheme val="minor"/>
    </font>
    <font>
      <sz val="10"/>
      <name val="Arial"/>
      <family val="2"/>
      <charset val="204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Arial"/>
      <family val="2"/>
      <charset val="204"/>
    </font>
    <font>
      <sz val="12"/>
      <name val="Arial"/>
      <family val="2"/>
      <charset val="204"/>
    </font>
    <font>
      <b/>
      <u/>
      <sz val="14"/>
      <name val="Arial"/>
      <family val="2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9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  <scheme val="minor"/>
    </font>
    <font>
      <sz val="10"/>
      <color rgb="FFFF0000"/>
      <name val="Arial Cyr"/>
      <charset val="204"/>
    </font>
    <font>
      <b/>
      <sz val="10"/>
      <name val="Times New Roman"/>
      <family val="1"/>
      <charset val="204"/>
      <scheme val="minor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  <scheme val="minor"/>
    </font>
    <font>
      <b/>
      <sz val="10"/>
      <name val="Arial"/>
      <family val="2"/>
      <charset val="204"/>
    </font>
    <font>
      <i/>
      <sz val="8"/>
      <name val="Times New Roman"/>
      <family val="1"/>
      <charset val="204"/>
      <scheme val="minor"/>
    </font>
    <font>
      <i/>
      <sz val="8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0070C0"/>
      <name val="Times New Roman"/>
      <family val="1"/>
      <charset val="204"/>
    </font>
    <font>
      <sz val="12"/>
      <name val="Times New Roman"/>
      <family val="1"/>
      <charset val="204"/>
      <scheme val="minor"/>
    </font>
    <font>
      <b/>
      <sz val="12"/>
      <name val="Times New Roman"/>
      <family val="1"/>
      <charset val="204"/>
      <scheme val="minor"/>
    </font>
    <font>
      <sz val="14"/>
      <name val="Times New Roman"/>
      <family val="1"/>
      <charset val="204"/>
      <scheme val="minor"/>
    </font>
    <font>
      <b/>
      <sz val="14"/>
      <name val="Times New Roman"/>
      <family val="1"/>
      <charset val="204"/>
      <scheme val="minor"/>
    </font>
    <font>
      <sz val="12"/>
      <color rgb="FFFF0000"/>
      <name val="Times New Roman"/>
      <family val="1"/>
      <charset val="204"/>
      <scheme val="minor"/>
    </font>
    <font>
      <sz val="14"/>
      <color theme="1"/>
      <name val="Times New Roman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2"/>
      <charset val="204"/>
      <scheme val="minor"/>
    </font>
    <font>
      <b/>
      <sz val="14"/>
      <name val="Arial"/>
      <family val="2"/>
      <charset val="204"/>
    </font>
    <font>
      <i/>
      <sz val="14"/>
      <color theme="1"/>
      <name val="Times New Roman"/>
      <family val="1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  <scheme val="minor"/>
    </font>
    <font>
      <sz val="12"/>
      <color rgb="FF002060"/>
      <name val="Times New Roman"/>
      <family val="1"/>
      <charset val="204"/>
      <scheme val="minor"/>
    </font>
    <font>
      <b/>
      <sz val="12"/>
      <color rgb="FF002060"/>
      <name val="Times New Roman"/>
      <family val="1"/>
      <charset val="204"/>
      <scheme val="minor"/>
    </font>
    <font>
      <b/>
      <sz val="12"/>
      <color rgb="FFFF0000"/>
      <name val="Times New Roman"/>
      <family val="1"/>
      <charset val="204"/>
      <scheme val="minor"/>
    </font>
    <font>
      <b/>
      <sz val="18"/>
      <name val="Times New Roman"/>
      <family val="1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  <scheme val="minor"/>
    </font>
    <font>
      <b/>
      <sz val="12"/>
      <color theme="1"/>
      <name val="Times New Roman"/>
      <family val="1"/>
      <charset val="204"/>
      <scheme val="minor"/>
    </font>
    <font>
      <sz val="8"/>
      <name val="Times New Roman"/>
      <family val="1"/>
      <charset val="204"/>
    </font>
    <font>
      <b/>
      <u/>
      <sz val="12"/>
      <name val="Arial"/>
      <family val="2"/>
      <charset val="204"/>
    </font>
    <font>
      <b/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Arial Cyr"/>
      <charset val="204"/>
    </font>
    <font>
      <b/>
      <sz val="10"/>
      <color rgb="FFFF0000"/>
      <name val="Times New Roman"/>
      <family val="1"/>
      <charset val="204"/>
      <scheme val="minor"/>
    </font>
    <font>
      <sz val="11"/>
      <color rgb="FF7030A0"/>
      <name val="Arial"/>
      <family val="2"/>
      <charset val="204"/>
    </font>
    <font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  <scheme val="minor"/>
    </font>
    <font>
      <sz val="10"/>
      <color rgb="FF00B050"/>
      <name val="Arial"/>
      <family val="2"/>
      <charset val="204"/>
    </font>
    <font>
      <sz val="8"/>
      <name val="Times New Roman"/>
      <family val="1"/>
      <charset val="204"/>
      <scheme val="minor"/>
    </font>
    <font>
      <sz val="8"/>
      <color rgb="FFFF0000"/>
      <name val="Arial"/>
      <family val="2"/>
      <charset val="204"/>
    </font>
    <font>
      <sz val="16"/>
      <name val="Times New Roman"/>
      <family val="1"/>
      <charset val="204"/>
      <scheme val="minor"/>
    </font>
    <font>
      <sz val="16"/>
      <name val="Arial"/>
      <family val="2"/>
      <charset val="204"/>
    </font>
    <font>
      <b/>
      <sz val="16"/>
      <color theme="1"/>
      <name val="Times New Roman"/>
      <family val="1"/>
      <charset val="204"/>
      <scheme val="minor"/>
    </font>
    <font>
      <sz val="11"/>
      <color rgb="FFFF0000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0"/>
      <color rgb="FF0070C0"/>
      <name val="Times New Roman"/>
      <family val="1"/>
      <charset val="204"/>
    </font>
    <font>
      <sz val="10"/>
      <color rgb="FF0070C0"/>
      <name val="Arial"/>
      <family val="2"/>
      <charset val="204"/>
    </font>
    <font>
      <i/>
      <sz val="10"/>
      <color rgb="FF0070C0"/>
      <name val="Times New Roman"/>
      <family val="1"/>
      <charset val="204"/>
      <scheme val="minor"/>
    </font>
    <font>
      <i/>
      <sz val="11"/>
      <color rgb="FF0070C0"/>
      <name val="Arial"/>
      <family val="2"/>
      <charset val="204"/>
    </font>
    <font>
      <i/>
      <sz val="10"/>
      <color rgb="FF0070C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i/>
      <sz val="10"/>
      <color rgb="FF0070C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</font>
    <font>
      <i/>
      <sz val="11"/>
      <name val="Arial"/>
      <family val="2"/>
      <charset val="204"/>
    </font>
    <font>
      <b/>
      <sz val="8"/>
      <name val="Arial"/>
      <family val="2"/>
      <charset val="204"/>
    </font>
    <font>
      <i/>
      <sz val="11"/>
      <color rgb="FFC00000"/>
      <name val="Arial"/>
      <family val="2"/>
      <charset val="204"/>
    </font>
    <font>
      <b/>
      <sz val="11"/>
      <color rgb="FFC00000"/>
      <name val="Arial"/>
      <family val="2"/>
      <charset val="204"/>
    </font>
    <font>
      <i/>
      <sz val="10"/>
      <color rgb="FFC00000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i/>
      <sz val="10"/>
      <color rgb="FFC00000"/>
      <name val="Arial"/>
      <family val="2"/>
      <charset val="204"/>
    </font>
    <font>
      <i/>
      <sz val="10"/>
      <color rgb="FFC00000"/>
      <name val="Times New Roman"/>
      <family val="1"/>
      <charset val="204"/>
      <scheme val="minor"/>
    </font>
    <font>
      <sz val="5"/>
      <name val="Arial"/>
      <family val="2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  <font>
      <b/>
      <sz val="8"/>
      <name val="Times New Roman"/>
      <family val="1"/>
      <charset val="204"/>
      <scheme val="minor"/>
    </font>
    <font>
      <b/>
      <sz val="10"/>
      <color rgb="FF7030A0"/>
      <name val="Times New Roman"/>
      <family val="1"/>
      <charset val="204"/>
      <scheme val="minor"/>
    </font>
    <font>
      <sz val="10"/>
      <color rgb="FF7030A0"/>
      <name val="Times New Roman"/>
      <family val="1"/>
      <charset val="204"/>
      <scheme val="minor"/>
    </font>
    <font>
      <sz val="10"/>
      <color rgb="FF7030A0"/>
      <name val="Arial"/>
      <family val="2"/>
      <charset val="204"/>
    </font>
    <font>
      <b/>
      <sz val="11"/>
      <color rgb="FF7030A0"/>
      <name val="Arial"/>
      <family val="2"/>
      <charset val="204"/>
    </font>
    <font>
      <b/>
      <sz val="12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  <scheme val="minor"/>
    </font>
    <font>
      <b/>
      <sz val="12"/>
      <color rgb="FF7030A0"/>
      <name val="Times New Roman"/>
      <family val="1"/>
      <charset val="204"/>
      <scheme val="minor"/>
    </font>
    <font>
      <sz val="14"/>
      <color rgb="FF0070C0"/>
      <name val="Times New Roman"/>
      <family val="2"/>
      <charset val="204"/>
    </font>
    <font>
      <b/>
      <sz val="14"/>
      <color rgb="FF0070C0"/>
      <name val="Times New Roman"/>
      <family val="2"/>
      <charset val="204"/>
    </font>
    <font>
      <sz val="14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strike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5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b/>
      <i/>
      <sz val="5"/>
      <name val="Times New Roman"/>
      <family val="1"/>
      <charset val="204"/>
    </font>
    <font>
      <i/>
      <sz val="8"/>
      <name val="Arial"/>
      <family val="2"/>
      <charset val="204"/>
    </font>
    <font>
      <b/>
      <i/>
      <sz val="8"/>
      <name val="Times New Roman"/>
      <family val="1"/>
      <charset val="204"/>
      <scheme val="minor"/>
    </font>
    <font>
      <i/>
      <sz val="8"/>
      <color rgb="FFFF0000"/>
      <name val="Times New Roman"/>
      <family val="1"/>
      <charset val="204"/>
      <scheme val="minor"/>
    </font>
    <font>
      <sz val="12"/>
      <color rgb="FF7030A0"/>
      <name val="Times New Roman"/>
      <family val="1"/>
    </font>
    <font>
      <sz val="10"/>
      <color rgb="FF7030A0"/>
      <name val="Arial"/>
      <family val="2"/>
      <charset val="204"/>
    </font>
    <font>
      <sz val="12"/>
      <color rgb="FFFF0000"/>
      <name val="Times New Roman"/>
      <family val="1"/>
    </font>
    <font>
      <sz val="14"/>
      <color theme="1"/>
      <name val="Times New Roman"/>
      <family val="1"/>
      <charset val="204"/>
      <scheme val="minor"/>
    </font>
    <font>
      <sz val="16"/>
      <color theme="1"/>
      <name val="Times New Roman"/>
      <family val="1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164" fontId="15" fillId="0" borderId="0" applyFont="0" applyFill="0" applyBorder="0" applyAlignment="0" applyProtection="0"/>
    <xf numFmtId="0" fontId="1" fillId="0" borderId="0"/>
  </cellStyleXfs>
  <cellXfs count="2551">
    <xf numFmtId="0" fontId="0" fillId="0" borderId="0" xfId="0"/>
    <xf numFmtId="1" fontId="3" fillId="0" borderId="0" xfId="0" applyNumberFormat="1" applyFont="1" applyFill="1"/>
    <xf numFmtId="0" fontId="2" fillId="0" borderId="0" xfId="0" applyFont="1"/>
    <xf numFmtId="1" fontId="10" fillId="0" borderId="0" xfId="0" applyNumberFormat="1" applyFont="1" applyFill="1" applyBorder="1"/>
    <xf numFmtId="1" fontId="5" fillId="0" borderId="0" xfId="0" applyNumberFormat="1" applyFont="1" applyFill="1"/>
    <xf numFmtId="165" fontId="5" fillId="0" borderId="0" xfId="0" applyNumberFormat="1" applyFont="1" applyFill="1"/>
    <xf numFmtId="1" fontId="10" fillId="0" borderId="0" xfId="0" applyNumberFormat="1" applyFont="1" applyFill="1"/>
    <xf numFmtId="167" fontId="10" fillId="0" borderId="0" xfId="0" applyNumberFormat="1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166" fontId="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/>
    <xf numFmtId="0" fontId="12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Fill="1"/>
    <xf numFmtId="165" fontId="3" fillId="0" borderId="0" xfId="0" applyNumberFormat="1" applyFont="1" applyFill="1"/>
    <xf numFmtId="1" fontId="6" fillId="0" borderId="7" xfId="0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8" fillId="0" borderId="0" xfId="1" applyFont="1"/>
    <xf numFmtId="0" fontId="10" fillId="0" borderId="8" xfId="1" applyFont="1" applyFill="1" applyBorder="1"/>
    <xf numFmtId="0" fontId="10" fillId="0" borderId="9" xfId="1" applyFont="1" applyBorder="1" applyAlignment="1">
      <alignment horizontal="center"/>
    </xf>
    <xf numFmtId="0" fontId="10" fillId="0" borderId="8" xfId="1" applyFont="1" applyBorder="1"/>
    <xf numFmtId="0" fontId="10" fillId="0" borderId="8" xfId="1" applyFont="1" applyBorder="1" applyAlignment="1">
      <alignment horizontal="center"/>
    </xf>
    <xf numFmtId="0" fontId="10" fillId="0" borderId="10" xfId="1" applyFont="1" applyBorder="1"/>
    <xf numFmtId="0" fontId="10" fillId="0" borderId="8" xfId="1" applyFont="1" applyFill="1" applyBorder="1" applyAlignment="1">
      <alignment horizontal="center"/>
    </xf>
    <xf numFmtId="0" fontId="10" fillId="0" borderId="10" xfId="1" applyFont="1" applyFill="1" applyBorder="1"/>
    <xf numFmtId="3" fontId="10" fillId="0" borderId="3" xfId="1" applyNumberFormat="1" applyFont="1" applyFill="1" applyBorder="1"/>
    <xf numFmtId="3" fontId="10" fillId="0" borderId="13" xfId="1" applyNumberFormat="1" applyFont="1" applyFill="1" applyBorder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49" fontId="2" fillId="0" borderId="0" xfId="0" applyNumberFormat="1" applyFont="1" applyFill="1" applyAlignment="1">
      <alignment horizontal="left" vertical="center" wrapText="1"/>
    </xf>
    <xf numFmtId="0" fontId="23" fillId="0" borderId="0" xfId="0" applyFont="1"/>
    <xf numFmtId="0" fontId="23" fillId="0" borderId="5" xfId="0" applyFont="1" applyBorder="1"/>
    <xf numFmtId="0" fontId="23" fillId="0" borderId="0" xfId="0" applyFont="1" applyBorder="1"/>
    <xf numFmtId="3" fontId="25" fillId="0" borderId="0" xfId="0" applyNumberFormat="1" applyFont="1" applyFill="1"/>
    <xf numFmtId="0" fontId="23" fillId="0" borderId="0" xfId="0" applyNumberFormat="1" applyFont="1" applyFill="1" applyAlignment="1">
      <alignment horizontal="left" vertical="center" wrapText="1"/>
    </xf>
    <xf numFmtId="3" fontId="23" fillId="0" borderId="0" xfId="0" applyNumberFormat="1" applyFont="1" applyFill="1"/>
    <xf numFmtId="0" fontId="25" fillId="0" borderId="0" xfId="0" applyNumberFormat="1" applyFont="1" applyFill="1" applyAlignment="1">
      <alignment horizontal="left" vertical="center" wrapText="1"/>
    </xf>
    <xf numFmtId="49" fontId="23" fillId="0" borderId="0" xfId="0" applyNumberFormat="1" applyFont="1" applyFill="1" applyAlignment="1">
      <alignment horizontal="center" wrapText="1"/>
    </xf>
    <xf numFmtId="49" fontId="23" fillId="0" borderId="0" xfId="0" applyNumberFormat="1" applyFont="1" applyFill="1" applyAlignment="1">
      <alignment horizontal="left" wrapText="1"/>
    </xf>
    <xf numFmtId="49" fontId="25" fillId="0" borderId="0" xfId="0" applyNumberFormat="1" applyFont="1" applyFill="1" applyAlignment="1">
      <alignment horizontal="center" vertical="center" wrapText="1"/>
    </xf>
    <xf numFmtId="3" fontId="13" fillId="0" borderId="0" xfId="0" applyNumberFormat="1" applyFont="1" applyFill="1"/>
    <xf numFmtId="49" fontId="13" fillId="0" borderId="0" xfId="0" applyNumberFormat="1" applyFont="1" applyFill="1" applyAlignment="1">
      <alignment horizontal="left" vertical="center" wrapText="1"/>
    </xf>
    <xf numFmtId="0" fontId="8" fillId="0" borderId="0" xfId="1" applyFont="1" applyFill="1"/>
    <xf numFmtId="0" fontId="0" fillId="0" borderId="0" xfId="0" applyFill="1" applyAlignment="1">
      <alignment horizontal="center" vertical="center"/>
    </xf>
    <xf numFmtId="2" fontId="2" fillId="0" borderId="0" xfId="0" applyNumberFormat="1" applyFont="1" applyFill="1" applyBorder="1"/>
    <xf numFmtId="167" fontId="10" fillId="3" borderId="0" xfId="0" applyNumberFormat="1" applyFont="1" applyFill="1"/>
    <xf numFmtId="49" fontId="23" fillId="0" borderId="0" xfId="0" applyNumberFormat="1" applyFont="1" applyFill="1" applyAlignment="1">
      <alignment horizontal="left" vertical="center" wrapText="1"/>
    </xf>
    <xf numFmtId="0" fontId="2" fillId="0" borderId="0" xfId="0" applyFont="1" applyFill="1"/>
    <xf numFmtId="0" fontId="23" fillId="0" borderId="0" xfId="0" applyFont="1" applyAlignment="1">
      <alignment horizontal="center"/>
    </xf>
    <xf numFmtId="165" fontId="26" fillId="0" borderId="2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/>
    <xf numFmtId="2" fontId="26" fillId="0" borderId="1" xfId="0" applyNumberFormat="1" applyFont="1" applyFill="1" applyBorder="1"/>
    <xf numFmtId="1" fontId="26" fillId="0" borderId="1" xfId="0" applyNumberFormat="1" applyFont="1" applyFill="1" applyBorder="1" applyAlignment="1">
      <alignment horizontal="center" vertical="center"/>
    </xf>
    <xf numFmtId="1" fontId="26" fillId="0" borderId="4" xfId="0" applyNumberFormat="1" applyFont="1" applyFill="1" applyBorder="1"/>
    <xf numFmtId="1" fontId="26" fillId="0" borderId="7" xfId="0" applyNumberFormat="1" applyFont="1" applyFill="1" applyBorder="1"/>
    <xf numFmtId="3" fontId="26" fillId="0" borderId="19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/>
    <xf numFmtId="0" fontId="21" fillId="0" borderId="0" xfId="1" applyFont="1"/>
    <xf numFmtId="3" fontId="10" fillId="3" borderId="3" xfId="1" applyNumberFormat="1" applyFont="1" applyFill="1" applyBorder="1"/>
    <xf numFmtId="3" fontId="10" fillId="3" borderId="13" xfId="1" applyNumberFormat="1" applyFont="1" applyFill="1" applyBorder="1"/>
    <xf numFmtId="0" fontId="2" fillId="3" borderId="0" xfId="0" applyFont="1" applyFill="1"/>
    <xf numFmtId="3" fontId="10" fillId="3" borderId="1" xfId="1" applyNumberFormat="1" applyFont="1" applyFill="1" applyBorder="1"/>
    <xf numFmtId="0" fontId="2" fillId="0" borderId="0" xfId="0" applyFont="1" applyFill="1" applyAlignment="1">
      <alignment wrapText="1"/>
    </xf>
    <xf numFmtId="3" fontId="10" fillId="3" borderId="1" xfId="1" applyNumberFormat="1" applyFont="1" applyFill="1" applyBorder="1" applyAlignment="1">
      <alignment horizontal="center"/>
    </xf>
    <xf numFmtId="3" fontId="10" fillId="3" borderId="4" xfId="1" applyNumberFormat="1" applyFont="1" applyFill="1" applyBorder="1"/>
    <xf numFmtId="3" fontId="10" fillId="3" borderId="3" xfId="1" applyNumberFormat="1" applyFont="1" applyFill="1" applyBorder="1" applyAlignment="1">
      <alignment horizontal="center"/>
    </xf>
    <xf numFmtId="3" fontId="23" fillId="0" borderId="0" xfId="0" applyNumberFormat="1" applyFont="1" applyFill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1" fontId="5" fillId="5" borderId="0" xfId="0" applyNumberFormat="1" applyFont="1" applyFill="1"/>
    <xf numFmtId="167" fontId="10" fillId="5" borderId="0" xfId="0" applyNumberFormat="1" applyFont="1" applyFill="1"/>
    <xf numFmtId="1" fontId="10" fillId="5" borderId="0" xfId="0" applyNumberFormat="1" applyFont="1" applyFill="1"/>
    <xf numFmtId="3" fontId="8" fillId="0" borderId="0" xfId="1" applyNumberFormat="1" applyFont="1"/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23" fillId="0" borderId="0" xfId="0" applyNumberFormat="1" applyFont="1" applyFill="1" applyAlignment="1">
      <alignment horizontal="left" wrapText="1"/>
    </xf>
    <xf numFmtId="3" fontId="24" fillId="0" borderId="0" xfId="0" applyNumberFormat="1" applyFont="1" applyFill="1" applyAlignment="1">
      <alignment horizontal="center" vertical="center"/>
    </xf>
    <xf numFmtId="0" fontId="10" fillId="0" borderId="46" xfId="1" applyFon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1" fontId="26" fillId="0" borderId="16" xfId="0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wrapText="1"/>
    </xf>
    <xf numFmtId="165" fontId="26" fillId="0" borderId="22" xfId="0" applyNumberFormat="1" applyFont="1" applyFill="1" applyBorder="1" applyAlignment="1">
      <alignment horizontal="center" vertical="center" wrapText="1"/>
    </xf>
    <xf numFmtId="165" fontId="26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22" xfId="0" applyNumberFormat="1" applyFont="1" applyFill="1" applyBorder="1" applyAlignment="1">
      <alignment horizontal="center" vertical="center" wrapText="1"/>
    </xf>
    <xf numFmtId="1" fontId="26" fillId="0" borderId="23" xfId="0" applyNumberFormat="1" applyFont="1" applyFill="1" applyBorder="1" applyAlignment="1">
      <alignment horizontal="center" vertical="center" wrapText="1"/>
    </xf>
    <xf numFmtId="1" fontId="26" fillId="0" borderId="24" xfId="0" applyNumberFormat="1" applyFont="1" applyFill="1" applyBorder="1" applyAlignment="1">
      <alignment horizontal="center" vertical="center" wrapText="1"/>
    </xf>
    <xf numFmtId="1" fontId="26" fillId="0" borderId="23" xfId="0" applyNumberFormat="1" applyFont="1" applyFill="1" applyBorder="1"/>
    <xf numFmtId="2" fontId="26" fillId="0" borderId="23" xfId="0" applyNumberFormat="1" applyFont="1" applyFill="1" applyBorder="1"/>
    <xf numFmtId="1" fontId="26" fillId="0" borderId="23" xfId="0" applyNumberFormat="1" applyFont="1" applyFill="1" applyBorder="1" applyAlignment="1">
      <alignment horizontal="center" vertical="center"/>
    </xf>
    <xf numFmtId="1" fontId="26" fillId="0" borderId="26" xfId="0" applyNumberFormat="1" applyFont="1" applyFill="1" applyBorder="1"/>
    <xf numFmtId="1" fontId="26" fillId="0" borderId="27" xfId="0" applyNumberFormat="1" applyFont="1" applyFill="1" applyBorder="1"/>
    <xf numFmtId="1" fontId="26" fillId="0" borderId="27" xfId="0" applyNumberFormat="1" applyFont="1" applyFill="1" applyBorder="1" applyAlignment="1">
      <alignment horizontal="left" vertical="top"/>
    </xf>
    <xf numFmtId="1" fontId="6" fillId="0" borderId="27" xfId="0" applyNumberFormat="1" applyFont="1" applyFill="1" applyBorder="1"/>
    <xf numFmtId="4" fontId="0" fillId="0" borderId="0" xfId="0" applyNumberFormat="1" applyFill="1"/>
    <xf numFmtId="4" fontId="0" fillId="0" borderId="0" xfId="0" applyNumberFormat="1" applyFill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/>
    <xf numFmtId="0" fontId="27" fillId="0" borderId="0" xfId="1" applyFont="1"/>
    <xf numFmtId="1" fontId="4" fillId="0" borderId="0" xfId="0" applyNumberFormat="1" applyFont="1" applyFill="1" applyAlignment="1">
      <alignment vertical="center"/>
    </xf>
    <xf numFmtId="0" fontId="27" fillId="0" borderId="0" xfId="1" applyFont="1" applyFill="1"/>
    <xf numFmtId="167" fontId="10" fillId="0" borderId="0" xfId="0" applyNumberFormat="1" applyFont="1" applyFill="1" applyAlignment="1">
      <alignment vertical="center"/>
    </xf>
    <xf numFmtId="1" fontId="26" fillId="0" borderId="27" xfId="0" applyNumberFormat="1" applyFont="1" applyFill="1" applyBorder="1" applyAlignment="1">
      <alignment horizontal="center" vertical="center" wrapText="1"/>
    </xf>
    <xf numFmtId="165" fontId="26" fillId="0" borderId="50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center" vertical="center" wrapText="1"/>
    </xf>
    <xf numFmtId="165" fontId="26" fillId="0" borderId="54" xfId="0" applyNumberFormat="1" applyFont="1" applyFill="1" applyBorder="1" applyAlignment="1">
      <alignment horizontal="center" vertical="center" wrapText="1"/>
    </xf>
    <xf numFmtId="165" fontId="26" fillId="0" borderId="16" xfId="0" applyNumberFormat="1" applyFont="1" applyFill="1" applyBorder="1" applyAlignment="1">
      <alignment horizontal="center" vertical="center" wrapText="1"/>
    </xf>
    <xf numFmtId="165" fontId="26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60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3" fontId="26" fillId="0" borderId="42" xfId="0" applyNumberFormat="1" applyFont="1" applyFill="1" applyBorder="1" applyAlignment="1">
      <alignment horizontal="center" vertical="center" wrapText="1"/>
    </xf>
    <xf numFmtId="3" fontId="26" fillId="0" borderId="43" xfId="0" applyNumberFormat="1" applyFont="1" applyFill="1" applyBorder="1" applyAlignment="1">
      <alignment horizontal="center" vertical="center" wrapText="1"/>
    </xf>
    <xf numFmtId="169" fontId="26" fillId="0" borderId="43" xfId="0" applyNumberFormat="1" applyFont="1" applyFill="1" applyBorder="1" applyAlignment="1">
      <alignment horizontal="center" vertical="center" wrapText="1"/>
    </xf>
    <xf numFmtId="3" fontId="26" fillId="0" borderId="46" xfId="0" applyNumberFormat="1" applyFont="1" applyFill="1" applyBorder="1" applyAlignment="1">
      <alignment horizontal="center" vertical="center" wrapText="1"/>
    </xf>
    <xf numFmtId="168" fontId="11" fillId="0" borderId="62" xfId="0" applyNumberFormat="1" applyFont="1" applyFill="1" applyBorder="1" applyAlignment="1">
      <alignment horizontal="center" vertical="center" wrapText="1"/>
    </xf>
    <xf numFmtId="168" fontId="11" fillId="0" borderId="58" xfId="0" applyNumberFormat="1" applyFont="1" applyFill="1" applyBorder="1" applyAlignment="1">
      <alignment horizontal="center" vertical="center" wrapText="1"/>
    </xf>
    <xf numFmtId="168" fontId="11" fillId="0" borderId="59" xfId="0" applyNumberFormat="1" applyFont="1" applyFill="1" applyBorder="1" applyAlignment="1">
      <alignment horizontal="center" vertical="center" wrapText="1"/>
    </xf>
    <xf numFmtId="1" fontId="26" fillId="0" borderId="55" xfId="0" applyNumberFormat="1" applyFont="1" applyFill="1" applyBorder="1" applyAlignment="1">
      <alignment horizontal="center" vertical="center" wrapText="1"/>
    </xf>
    <xf numFmtId="1" fontId="26" fillId="0" borderId="26" xfId="0" applyNumberFormat="1" applyFont="1" applyFill="1" applyBorder="1" applyAlignment="1">
      <alignment horizontal="center" vertical="center" wrapText="1"/>
    </xf>
    <xf numFmtId="1" fontId="26" fillId="0" borderId="50" xfId="0" applyNumberFormat="1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>
      <alignment horizontal="center" vertical="center" wrapText="1"/>
    </xf>
    <xf numFmtId="1" fontId="26" fillId="0" borderId="54" xfId="0" applyNumberFormat="1" applyFont="1" applyFill="1" applyBorder="1" applyAlignment="1">
      <alignment horizontal="center" vertical="center" wrapText="1"/>
    </xf>
    <xf numFmtId="1" fontId="26" fillId="0" borderId="18" xfId="0" applyNumberFormat="1" applyFont="1" applyFill="1" applyBorder="1" applyAlignment="1">
      <alignment horizontal="center" vertical="center" wrapText="1"/>
    </xf>
    <xf numFmtId="168" fontId="11" fillId="0" borderId="57" xfId="0" applyNumberFormat="1" applyFont="1" applyFill="1" applyBorder="1" applyAlignment="1">
      <alignment horizontal="center" vertical="center" wrapText="1"/>
    </xf>
    <xf numFmtId="1" fontId="26" fillId="0" borderId="25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" fontId="26" fillId="0" borderId="53" xfId="0" applyNumberFormat="1" applyFont="1" applyFill="1" applyBorder="1" applyAlignment="1">
      <alignment horizontal="center" vertical="center" wrapText="1"/>
    </xf>
    <xf numFmtId="168" fontId="11" fillId="0" borderId="63" xfId="0" applyNumberFormat="1" applyFont="1" applyFill="1" applyBorder="1" applyAlignment="1">
      <alignment horizontal="center" vertical="center" wrapText="1"/>
    </xf>
    <xf numFmtId="167" fontId="6" fillId="0" borderId="37" xfId="0" applyNumberFormat="1" applyFont="1" applyFill="1" applyBorder="1" applyAlignment="1"/>
    <xf numFmtId="1" fontId="26" fillId="0" borderId="5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 applyBorder="1" applyAlignment="1">
      <alignment horizontal="center" vertical="center" wrapText="1"/>
    </xf>
    <xf numFmtId="171" fontId="11" fillId="0" borderId="58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2" xfId="0" applyNumberFormat="1" applyFont="1" applyFill="1" applyBorder="1" applyAlignment="1">
      <alignment horizontal="center" vertical="center" wrapText="1"/>
    </xf>
    <xf numFmtId="2" fontId="26" fillId="0" borderId="16" xfId="0" applyNumberFormat="1" applyFont="1" applyFill="1" applyBorder="1" applyAlignment="1">
      <alignment horizontal="center" vertical="center" wrapText="1"/>
    </xf>
    <xf numFmtId="1" fontId="26" fillId="0" borderId="49" xfId="0" applyNumberFormat="1" applyFont="1" applyFill="1" applyBorder="1" applyAlignment="1">
      <alignment horizontal="center" vertical="center" wrapText="1"/>
    </xf>
    <xf numFmtId="1" fontId="26" fillId="0" borderId="31" xfId="0" applyNumberFormat="1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/>
    <xf numFmtId="4" fontId="31" fillId="0" borderId="0" xfId="0" applyNumberFormat="1" applyFont="1" applyFill="1" applyAlignment="1">
      <alignment horizontal="center" vertical="center"/>
    </xf>
    <xf numFmtId="3" fontId="25" fillId="0" borderId="58" xfId="0" applyNumberFormat="1" applyFont="1" applyFill="1" applyBorder="1" applyAlignment="1">
      <alignment horizontal="center" vertical="center"/>
    </xf>
    <xf numFmtId="3" fontId="25" fillId="0" borderId="59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3" fontId="23" fillId="0" borderId="14" xfId="0" applyNumberFormat="1" applyFont="1" applyFill="1" applyBorder="1" applyAlignment="1">
      <alignment horizontal="center" vertical="center"/>
    </xf>
    <xf numFmtId="0" fontId="23" fillId="0" borderId="51" xfId="0" applyNumberFormat="1" applyFont="1" applyFill="1" applyBorder="1" applyAlignment="1">
      <alignment horizontal="left" vertical="center" wrapText="1"/>
    </xf>
    <xf numFmtId="3" fontId="10" fillId="0" borderId="15" xfId="1" applyNumberFormat="1" applyFont="1" applyFill="1" applyBorder="1"/>
    <xf numFmtId="3" fontId="10" fillId="0" borderId="52" xfId="1" applyNumberFormat="1" applyFont="1" applyFill="1" applyBorder="1"/>
    <xf numFmtId="3" fontId="10" fillId="0" borderId="23" xfId="1" applyNumberFormat="1" applyFont="1" applyFill="1" applyBorder="1" applyAlignment="1">
      <alignment vertical="center"/>
    </xf>
    <xf numFmtId="3" fontId="10" fillId="0" borderId="3" xfId="1" applyNumberFormat="1" applyFont="1" applyFill="1" applyBorder="1" applyAlignment="1">
      <alignment vertical="center"/>
    </xf>
    <xf numFmtId="3" fontId="10" fillId="0" borderId="3" xfId="1" applyNumberFormat="1" applyFont="1" applyFill="1" applyBorder="1" applyAlignment="1">
      <alignment horizontal="right" vertical="center"/>
    </xf>
    <xf numFmtId="3" fontId="10" fillId="0" borderId="15" xfId="1" applyNumberFormat="1" applyFont="1" applyFill="1" applyBorder="1" applyAlignment="1">
      <alignment vertical="center"/>
    </xf>
    <xf numFmtId="1" fontId="26" fillId="0" borderId="22" xfId="0" applyNumberFormat="1" applyFont="1" applyFill="1" applyBorder="1"/>
    <xf numFmtId="1" fontId="26" fillId="0" borderId="2" xfId="0" applyNumberFormat="1" applyFont="1" applyFill="1" applyBorder="1"/>
    <xf numFmtId="167" fontId="10" fillId="0" borderId="37" xfId="0" applyNumberFormat="1" applyFont="1" applyFill="1" applyBorder="1" applyAlignment="1">
      <alignment horizontal="right"/>
    </xf>
    <xf numFmtId="3" fontId="10" fillId="0" borderId="37" xfId="0" applyNumberFormat="1" applyFont="1" applyFill="1" applyBorder="1" applyAlignment="1"/>
    <xf numFmtId="3" fontId="10" fillId="0" borderId="37" xfId="0" applyNumberFormat="1" applyFont="1" applyFill="1" applyBorder="1" applyAlignment="1">
      <alignment horizontal="center"/>
    </xf>
    <xf numFmtId="167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167" fontId="11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right" vertical="center"/>
    </xf>
    <xf numFmtId="3" fontId="28" fillId="0" borderId="19" xfId="0" applyNumberFormat="1" applyFont="1" applyFill="1" applyBorder="1" applyAlignment="1">
      <alignment horizontal="center" vertical="center" wrapText="1"/>
    </xf>
    <xf numFmtId="3" fontId="11" fillId="0" borderId="13" xfId="1" applyNumberFormat="1" applyFont="1" applyFill="1" applyBorder="1" applyAlignment="1">
      <alignment vertical="center"/>
    </xf>
    <xf numFmtId="3" fontId="11" fillId="0" borderId="52" xfId="1" applyNumberFormat="1" applyFont="1" applyFill="1" applyBorder="1" applyAlignment="1">
      <alignment vertical="center"/>
    </xf>
    <xf numFmtId="3" fontId="10" fillId="0" borderId="19" xfId="1" applyNumberFormat="1" applyFont="1" applyFill="1" applyBorder="1"/>
    <xf numFmtId="3" fontId="10" fillId="0" borderId="12" xfId="1" applyNumberFormat="1" applyFont="1" applyFill="1" applyBorder="1"/>
    <xf numFmtId="49" fontId="23" fillId="0" borderId="43" xfId="0" applyNumberFormat="1" applyFont="1" applyFill="1" applyBorder="1" applyAlignment="1">
      <alignment wrapText="1"/>
    </xf>
    <xf numFmtId="0" fontId="23" fillId="0" borderId="43" xfId="0" applyNumberFormat="1" applyFont="1" applyFill="1" applyBorder="1" applyAlignment="1">
      <alignment horizontal="left" vertical="center" wrapText="1"/>
    </xf>
    <xf numFmtId="0" fontId="23" fillId="0" borderId="36" xfId="0" applyNumberFormat="1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3" fontId="10" fillId="0" borderId="19" xfId="1" applyNumberFormat="1" applyFont="1" applyFill="1" applyBorder="1" applyAlignment="1">
      <alignment vertical="center"/>
    </xf>
    <xf numFmtId="3" fontId="10" fillId="0" borderId="19" xfId="1" applyNumberFormat="1" applyFont="1" applyFill="1" applyBorder="1" applyAlignment="1">
      <alignment horizontal="center" vertical="center"/>
    </xf>
    <xf numFmtId="3" fontId="10" fillId="0" borderId="12" xfId="1" applyNumberFormat="1" applyFont="1" applyFill="1" applyBorder="1" applyAlignment="1">
      <alignment vertical="center"/>
    </xf>
    <xf numFmtId="49" fontId="23" fillId="0" borderId="43" xfId="0" applyNumberFormat="1" applyFont="1" applyFill="1" applyBorder="1" applyAlignment="1">
      <alignment horizontal="left" vertical="center" wrapText="1"/>
    </xf>
    <xf numFmtId="49" fontId="9" fillId="0" borderId="43" xfId="0" applyNumberFormat="1" applyFont="1" applyFill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/>
    </xf>
    <xf numFmtId="3" fontId="7" fillId="0" borderId="62" xfId="1" applyNumberFormat="1" applyFont="1" applyFill="1" applyBorder="1" applyAlignment="1">
      <alignment horizontal="right" vertical="center"/>
    </xf>
    <xf numFmtId="3" fontId="7" fillId="0" borderId="58" xfId="1" applyNumberFormat="1" applyFont="1" applyFill="1" applyBorder="1" applyAlignment="1">
      <alignment horizontal="right" vertical="center"/>
    </xf>
    <xf numFmtId="3" fontId="7" fillId="0" borderId="59" xfId="1" applyNumberFormat="1" applyFont="1" applyFill="1" applyBorder="1" applyAlignment="1">
      <alignment horizontal="right" vertical="center"/>
    </xf>
    <xf numFmtId="0" fontId="13" fillId="0" borderId="0" xfId="0" applyFont="1"/>
    <xf numFmtId="0" fontId="7" fillId="0" borderId="48" xfId="1" applyFont="1" applyBorder="1" applyAlignment="1">
      <alignment vertical="center"/>
    </xf>
    <xf numFmtId="3" fontId="7" fillId="0" borderId="58" xfId="1" applyNumberFormat="1" applyFont="1" applyFill="1" applyBorder="1" applyAlignment="1">
      <alignment vertical="center"/>
    </xf>
    <xf numFmtId="3" fontId="7" fillId="0" borderId="59" xfId="1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3" fontId="10" fillId="3" borderId="2" xfId="1" applyNumberFormat="1" applyFont="1" applyFill="1" applyBorder="1" applyAlignment="1">
      <alignment horizontal="center"/>
    </xf>
    <xf numFmtId="3" fontId="10" fillId="3" borderId="19" xfId="1" applyNumberFormat="1" applyFont="1" applyFill="1" applyBorder="1" applyAlignment="1">
      <alignment horizontal="center"/>
    </xf>
    <xf numFmtId="3" fontId="10" fillId="0" borderId="22" xfId="1" applyNumberFormat="1" applyFont="1" applyFill="1" applyBorder="1" applyAlignment="1">
      <alignment vertical="center"/>
    </xf>
    <xf numFmtId="3" fontId="7" fillId="0" borderId="62" xfId="1" applyNumberFormat="1" applyFont="1" applyFill="1" applyBorder="1" applyAlignment="1">
      <alignment vertical="center"/>
    </xf>
    <xf numFmtId="49" fontId="23" fillId="3" borderId="42" xfId="0" applyNumberFormat="1" applyFont="1" applyFill="1" applyBorder="1" applyAlignment="1">
      <alignment wrapText="1"/>
    </xf>
    <xf numFmtId="49" fontId="23" fillId="3" borderId="43" xfId="0" applyNumberFormat="1" applyFont="1" applyFill="1" applyBorder="1" applyAlignment="1">
      <alignment wrapText="1"/>
    </xf>
    <xf numFmtId="0" fontId="10" fillId="0" borderId="69" xfId="1" applyFont="1" applyFill="1" applyBorder="1" applyAlignment="1">
      <alignment horizontal="center"/>
    </xf>
    <xf numFmtId="172" fontId="33" fillId="0" borderId="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4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3" fontId="26" fillId="0" borderId="12" xfId="0" applyNumberFormat="1" applyFont="1" applyFill="1" applyBorder="1"/>
    <xf numFmtId="3" fontId="26" fillId="0" borderId="23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6" fillId="0" borderId="15" xfId="0" applyNumberFormat="1" applyFont="1" applyFill="1" applyBorder="1" applyAlignment="1">
      <alignment horizontal="center" vertical="center" wrapText="1"/>
    </xf>
    <xf numFmtId="169" fontId="26" fillId="0" borderId="46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right" vertical="center"/>
    </xf>
    <xf numFmtId="4" fontId="34" fillId="0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/>
    <xf numFmtId="4" fontId="10" fillId="0" borderId="0" xfId="0" applyNumberFormat="1" applyFont="1" applyFill="1"/>
    <xf numFmtId="4" fontId="6" fillId="0" borderId="0" xfId="0" applyNumberFormat="1" applyFont="1" applyFill="1"/>
    <xf numFmtId="169" fontId="26" fillId="0" borderId="23" xfId="0" applyNumberFormat="1" applyFont="1" applyFill="1" applyBorder="1" applyAlignment="1">
      <alignment horizontal="center" vertical="center" wrapText="1"/>
    </xf>
    <xf numFmtId="169" fontId="26" fillId="0" borderId="1" xfId="0" applyNumberFormat="1" applyFont="1" applyFill="1" applyBorder="1" applyAlignment="1">
      <alignment horizontal="center" vertical="center" wrapText="1"/>
    </xf>
    <xf numFmtId="169" fontId="26" fillId="0" borderId="17" xfId="0" applyNumberFormat="1" applyFont="1" applyFill="1" applyBorder="1" applyAlignment="1">
      <alignment horizontal="center" vertical="center" wrapText="1"/>
    </xf>
    <xf numFmtId="4" fontId="26" fillId="0" borderId="22" xfId="0" applyNumberFormat="1" applyFont="1" applyFill="1" applyBorder="1" applyAlignment="1">
      <alignment horizontal="center" vertical="center" wrapText="1"/>
    </xf>
    <xf numFmtId="4" fontId="26" fillId="0" borderId="19" xfId="0" applyNumberFormat="1" applyFont="1" applyFill="1" applyBorder="1" applyAlignment="1">
      <alignment horizontal="center" vertical="center" wrapText="1"/>
    </xf>
    <xf numFmtId="4" fontId="26" fillId="0" borderId="4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justify" vertical="center"/>
    </xf>
    <xf numFmtId="0" fontId="36" fillId="0" borderId="57" xfId="0" applyFont="1" applyBorder="1" applyAlignment="1">
      <alignment horizontal="center" vertical="center"/>
    </xf>
    <xf numFmtId="0" fontId="36" fillId="0" borderId="63" xfId="0" applyFont="1" applyBorder="1" applyAlignment="1">
      <alignment horizontal="justify" vertical="center" wrapText="1"/>
    </xf>
    <xf numFmtId="3" fontId="37" fillId="0" borderId="48" xfId="0" applyNumberFormat="1" applyFont="1" applyBorder="1" applyAlignment="1">
      <alignment horizontal="center" vertical="center"/>
    </xf>
    <xf numFmtId="165" fontId="36" fillId="0" borderId="48" xfId="0" applyNumberFormat="1" applyFont="1" applyBorder="1" applyAlignment="1">
      <alignment horizontal="center" vertical="center"/>
    </xf>
    <xf numFmtId="174" fontId="36" fillId="0" borderId="57" xfId="0" applyNumberFormat="1" applyFont="1" applyBorder="1" applyAlignment="1">
      <alignment horizontal="center" vertical="center"/>
    </xf>
    <xf numFmtId="3" fontId="36" fillId="0" borderId="58" xfId="0" applyNumberFormat="1" applyFont="1" applyBorder="1" applyAlignment="1">
      <alignment horizontal="center" vertical="center"/>
    </xf>
    <xf numFmtId="169" fontId="36" fillId="0" borderId="58" xfId="0" applyNumberFormat="1" applyFont="1" applyBorder="1" applyAlignment="1">
      <alignment horizontal="center" vertical="center"/>
    </xf>
    <xf numFmtId="4" fontId="37" fillId="0" borderId="59" xfId="0" applyNumberFormat="1" applyFont="1" applyBorder="1" applyAlignment="1">
      <alignment horizontal="center" vertical="center"/>
    </xf>
    <xf numFmtId="4" fontId="37" fillId="0" borderId="65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3" fontId="36" fillId="0" borderId="57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169" fontId="36" fillId="0" borderId="63" xfId="0" applyNumberFormat="1" applyFont="1" applyBorder="1" applyAlignment="1">
      <alignment horizontal="center" vertical="center"/>
    </xf>
    <xf numFmtId="169" fontId="26" fillId="0" borderId="19" xfId="0" applyNumberFormat="1" applyFont="1" applyFill="1" applyBorder="1" applyAlignment="1">
      <alignment horizontal="center" vertical="center" wrapText="1"/>
    </xf>
    <xf numFmtId="169" fontId="26" fillId="0" borderId="12" xfId="0" applyNumberFormat="1" applyFont="1" applyFill="1" applyBorder="1" applyAlignment="1">
      <alignment horizontal="center" vertical="center" wrapText="1"/>
    </xf>
    <xf numFmtId="169" fontId="11" fillId="0" borderId="57" xfId="0" applyNumberFormat="1" applyFont="1" applyFill="1" applyBorder="1" applyAlignment="1">
      <alignment horizontal="center" vertical="center" wrapText="1"/>
    </xf>
    <xf numFmtId="169" fontId="11" fillId="0" borderId="6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38" fillId="0" borderId="0" xfId="0" applyNumberFormat="1" applyFont="1" applyAlignment="1">
      <alignment vertical="center"/>
    </xf>
    <xf numFmtId="0" fontId="38" fillId="0" borderId="0" xfId="0" applyFont="1"/>
    <xf numFmtId="3" fontId="2" fillId="0" borderId="0" xfId="0" applyNumberFormat="1" applyFont="1" applyFill="1" applyBorder="1" applyAlignment="1">
      <alignment horizontal="left" vertical="center" wrapText="1"/>
    </xf>
    <xf numFmtId="0" fontId="42" fillId="0" borderId="0" xfId="0" applyFont="1"/>
    <xf numFmtId="0" fontId="41" fillId="0" borderId="0" xfId="0" applyFont="1"/>
    <xf numFmtId="0" fontId="42" fillId="0" borderId="48" xfId="0" applyFont="1" applyBorder="1" applyAlignment="1">
      <alignment horizontal="center" vertical="center" wrapText="1"/>
    </xf>
    <xf numFmtId="176" fontId="42" fillId="0" borderId="62" xfId="0" applyNumberFormat="1" applyFont="1" applyBorder="1" applyAlignment="1">
      <alignment horizontal="center" vertical="center" wrapText="1"/>
    </xf>
    <xf numFmtId="9" fontId="42" fillId="0" borderId="48" xfId="0" applyNumberFormat="1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172" fontId="45" fillId="0" borderId="0" xfId="0" applyNumberFormat="1" applyFont="1" applyAlignment="1">
      <alignment horizontal="center" vertical="center" wrapText="1"/>
    </xf>
    <xf numFmtId="0" fontId="44" fillId="0" borderId="0" xfId="0" applyFont="1" applyAlignment="1">
      <alignment horizontal="right"/>
    </xf>
    <xf numFmtId="172" fontId="45" fillId="0" borderId="0" xfId="0" applyNumberFormat="1" applyFont="1"/>
    <xf numFmtId="17" fontId="46" fillId="0" borderId="0" xfId="0" applyNumberFormat="1" applyFont="1" applyAlignment="1">
      <alignment horizontal="right"/>
    </xf>
    <xf numFmtId="3" fontId="43" fillId="0" borderId="42" xfId="0" applyNumberFormat="1" applyFont="1" applyBorder="1"/>
    <xf numFmtId="3" fontId="42" fillId="0" borderId="42" xfId="0" applyNumberFormat="1" applyFont="1" applyBorder="1"/>
    <xf numFmtId="172" fontId="42" fillId="0" borderId="42" xfId="0" applyNumberFormat="1" applyFont="1" applyBorder="1"/>
    <xf numFmtId="3" fontId="43" fillId="0" borderId="27" xfId="0" applyNumberFormat="1" applyFont="1" applyBorder="1"/>
    <xf numFmtId="17" fontId="47" fillId="0" borderId="0" xfId="0" applyNumberFormat="1" applyFont="1" applyAlignment="1">
      <alignment horizontal="right"/>
    </xf>
    <xf numFmtId="3" fontId="43" fillId="0" borderId="43" xfId="0" applyNumberFormat="1" applyFont="1" applyBorder="1"/>
    <xf numFmtId="3" fontId="42" fillId="0" borderId="43" xfId="0" applyNumberFormat="1" applyFont="1" applyBorder="1"/>
    <xf numFmtId="172" fontId="42" fillId="0" borderId="43" xfId="0" applyNumberFormat="1" applyFont="1" applyBorder="1"/>
    <xf numFmtId="3" fontId="43" fillId="0" borderId="45" xfId="0" applyNumberFormat="1" applyFont="1" applyBorder="1"/>
    <xf numFmtId="17" fontId="47" fillId="0" borderId="48" xfId="0" applyNumberFormat="1" applyFont="1" applyBorder="1" applyAlignment="1">
      <alignment vertical="center"/>
    </xf>
    <xf numFmtId="3" fontId="43" fillId="0" borderId="48" xfId="0" applyNumberFormat="1" applyFont="1" applyBorder="1" applyAlignment="1">
      <alignment vertical="center"/>
    </xf>
    <xf numFmtId="172" fontId="42" fillId="0" borderId="62" xfId="0" applyNumberFormat="1" applyFont="1" applyBorder="1" applyAlignment="1">
      <alignment vertical="center"/>
    </xf>
    <xf numFmtId="0" fontId="41" fillId="0" borderId="57" xfId="0" applyFont="1" applyBorder="1" applyAlignment="1">
      <alignment vertical="center"/>
    </xf>
    <xf numFmtId="0" fontId="41" fillId="0" borderId="58" xfId="0" applyFont="1" applyBorder="1" applyAlignment="1">
      <alignment vertical="center"/>
    </xf>
    <xf numFmtId="3" fontId="42" fillId="0" borderId="48" xfId="0" applyNumberFormat="1" applyFont="1" applyBorder="1" applyAlignment="1">
      <alignment vertical="center"/>
    </xf>
    <xf numFmtId="9" fontId="43" fillId="0" borderId="48" xfId="0" applyNumberFormat="1" applyFont="1" applyBorder="1" applyAlignment="1">
      <alignment vertical="center"/>
    </xf>
    <xf numFmtId="3" fontId="43" fillId="0" borderId="65" xfId="0" applyNumberFormat="1" applyFont="1" applyBorder="1" applyAlignment="1">
      <alignment vertical="center"/>
    </xf>
    <xf numFmtId="172" fontId="4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3" fontId="42" fillId="0" borderId="0" xfId="0" applyNumberFormat="1" applyFont="1" applyAlignment="1">
      <alignment vertical="center"/>
    </xf>
    <xf numFmtId="172" fontId="43" fillId="0" borderId="62" xfId="0" applyNumberFormat="1" applyFont="1" applyBorder="1" applyAlignment="1">
      <alignment vertical="center"/>
    </xf>
    <xf numFmtId="176" fontId="42" fillId="0" borderId="0" xfId="0" applyNumberFormat="1" applyFont="1"/>
    <xf numFmtId="9" fontId="42" fillId="0" borderId="0" xfId="0" applyNumberFormat="1" applyFont="1"/>
    <xf numFmtId="3" fontId="42" fillId="0" borderId="0" xfId="0" applyNumberFormat="1" applyFont="1"/>
    <xf numFmtId="0" fontId="46" fillId="0" borderId="0" xfId="0" applyFont="1"/>
    <xf numFmtId="176" fontId="42" fillId="0" borderId="0" xfId="0" applyNumberFormat="1" applyFont="1" applyAlignment="1">
      <alignment vertical="center"/>
    </xf>
    <xf numFmtId="9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8" fillId="0" borderId="0" xfId="0" applyFont="1"/>
    <xf numFmtId="4" fontId="39" fillId="0" borderId="0" xfId="0" applyNumberFormat="1" applyFont="1" applyAlignment="1">
      <alignment vertical="center"/>
    </xf>
    <xf numFmtId="0" fontId="42" fillId="0" borderId="59" xfId="0" applyFont="1" applyBorder="1" applyAlignment="1">
      <alignment horizontal="center" vertical="center" wrapText="1"/>
    </xf>
    <xf numFmtId="3" fontId="42" fillId="0" borderId="27" xfId="0" applyNumberFormat="1" applyFont="1" applyBorder="1"/>
    <xf numFmtId="3" fontId="42" fillId="0" borderId="45" xfId="0" applyNumberFormat="1" applyFont="1" applyBorder="1"/>
    <xf numFmtId="3" fontId="42" fillId="0" borderId="65" xfId="0" applyNumberFormat="1" applyFont="1" applyBorder="1" applyAlignment="1">
      <alignment vertical="center"/>
    </xf>
    <xf numFmtId="3" fontId="43" fillId="0" borderId="44" xfId="0" applyNumberFormat="1" applyFont="1" applyBorder="1"/>
    <xf numFmtId="3" fontId="42" fillId="0" borderId="47" xfId="0" applyNumberFormat="1" applyFont="1" applyBorder="1"/>
    <xf numFmtId="3" fontId="42" fillId="0" borderId="76" xfId="0" applyNumberFormat="1" applyFont="1" applyBorder="1"/>
    <xf numFmtId="172" fontId="42" fillId="0" borderId="44" xfId="0" applyNumberFormat="1" applyFont="1" applyBorder="1"/>
    <xf numFmtId="3" fontId="43" fillId="0" borderId="76" xfId="0" applyNumberFormat="1" applyFont="1" applyBorder="1"/>
    <xf numFmtId="4" fontId="43" fillId="0" borderId="35" xfId="0" applyNumberFormat="1" applyFont="1" applyBorder="1"/>
    <xf numFmtId="176" fontId="43" fillId="0" borderId="16" xfId="0" applyNumberFormat="1" applyFont="1" applyBorder="1"/>
    <xf numFmtId="0" fontId="41" fillId="0" borderId="54" xfId="0" applyFont="1" applyBorder="1"/>
    <xf numFmtId="0" fontId="41" fillId="0" borderId="17" xfId="0" applyFont="1" applyBorder="1"/>
    <xf numFmtId="4" fontId="43" fillId="0" borderId="17" xfId="0" applyNumberFormat="1" applyFont="1" applyBorder="1"/>
    <xf numFmtId="4" fontId="43" fillId="0" borderId="60" xfId="0" applyNumberFormat="1" applyFont="1" applyBorder="1"/>
    <xf numFmtId="9" fontId="43" fillId="0" borderId="35" xfId="0" applyNumberFormat="1" applyFont="1" applyBorder="1"/>
    <xf numFmtId="0" fontId="42" fillId="0" borderId="64" xfId="0" applyFont="1" applyBorder="1" applyAlignment="1">
      <alignment horizontal="center" vertical="center" wrapText="1"/>
    </xf>
    <xf numFmtId="4" fontId="43" fillId="0" borderId="30" xfId="0" applyNumberFormat="1" applyFont="1" applyBorder="1"/>
    <xf numFmtId="4" fontId="43" fillId="0" borderId="18" xfId="0" applyNumberFormat="1" applyFont="1" applyBorder="1"/>
    <xf numFmtId="0" fontId="42" fillId="0" borderId="58" xfId="0" applyFont="1" applyBorder="1" applyAlignment="1">
      <alignment horizontal="center" vertical="center" textRotation="90" wrapText="1"/>
    </xf>
    <xf numFmtId="174" fontId="50" fillId="0" borderId="23" xfId="0" applyNumberFormat="1" applyFont="1" applyBorder="1"/>
    <xf numFmtId="174" fontId="50" fillId="0" borderId="3" xfId="0" applyNumberFormat="1" applyFont="1" applyBorder="1"/>
    <xf numFmtId="174" fontId="50" fillId="0" borderId="8" xfId="0" applyNumberFormat="1" applyFont="1" applyBorder="1"/>
    <xf numFmtId="174" fontId="50" fillId="0" borderId="58" xfId="0" applyNumberFormat="1" applyFont="1" applyBorder="1" applyAlignment="1">
      <alignment vertical="center"/>
    </xf>
    <xf numFmtId="0" fontId="42" fillId="0" borderId="57" xfId="0" applyFont="1" applyBorder="1" applyAlignment="1">
      <alignment horizontal="center" vertical="center" textRotation="90" wrapText="1"/>
    </xf>
    <xf numFmtId="0" fontId="42" fillId="0" borderId="59" xfId="0" applyFont="1" applyBorder="1" applyAlignment="1">
      <alignment horizontal="center" vertical="center" textRotation="90" wrapText="1"/>
    </xf>
    <xf numFmtId="4" fontId="43" fillId="0" borderId="54" xfId="0" applyNumberFormat="1" applyFont="1" applyBorder="1"/>
    <xf numFmtId="174" fontId="50" fillId="0" borderId="26" xfId="0" applyNumberFormat="1" applyFont="1" applyBorder="1"/>
    <xf numFmtId="174" fontId="50" fillId="0" borderId="13" xfId="0" applyNumberFormat="1" applyFont="1" applyBorder="1"/>
    <xf numFmtId="174" fontId="50" fillId="0" borderId="14" xfId="0" applyNumberFormat="1" applyFont="1" applyBorder="1"/>
    <xf numFmtId="174" fontId="50" fillId="0" borderId="57" xfId="0" applyNumberFormat="1" applyFont="1" applyBorder="1" applyAlignment="1">
      <alignment vertical="center"/>
    </xf>
    <xf numFmtId="174" fontId="50" fillId="0" borderId="59" xfId="0" applyNumberFormat="1" applyFont="1" applyBorder="1" applyAlignment="1">
      <alignment vertical="center"/>
    </xf>
    <xf numFmtId="174" fontId="51" fillId="0" borderId="57" xfId="0" applyNumberFormat="1" applyFont="1" applyBorder="1" applyAlignment="1">
      <alignment vertical="center"/>
    </xf>
    <xf numFmtId="174" fontId="51" fillId="0" borderId="58" xfId="0" applyNumberFormat="1" applyFont="1" applyBorder="1" applyAlignment="1">
      <alignment vertical="center"/>
    </xf>
    <xf numFmtId="174" fontId="51" fillId="0" borderId="59" xfId="0" applyNumberFormat="1" applyFont="1" applyBorder="1" applyAlignment="1">
      <alignment vertical="center"/>
    </xf>
    <xf numFmtId="174" fontId="50" fillId="3" borderId="55" xfId="0" applyNumberFormat="1" applyFont="1" applyFill="1" applyBorder="1"/>
    <xf numFmtId="174" fontId="50" fillId="3" borderId="51" xfId="0" applyNumberFormat="1" applyFont="1" applyFill="1" applyBorder="1"/>
    <xf numFmtId="174" fontId="50" fillId="3" borderId="3" xfId="0" applyNumberFormat="1" applyFont="1" applyFill="1" applyBorder="1"/>
    <xf numFmtId="174" fontId="50" fillId="3" borderId="69" xfId="0" applyNumberFormat="1" applyFont="1" applyFill="1" applyBorder="1"/>
    <xf numFmtId="174" fontId="50" fillId="3" borderId="8" xfId="0" applyNumberFormat="1" applyFont="1" applyFill="1" applyBorder="1"/>
    <xf numFmtId="174" fontId="50" fillId="3" borderId="23" xfId="0" applyNumberFormat="1" applyFont="1" applyFill="1" applyBorder="1"/>
    <xf numFmtId="174" fontId="50" fillId="3" borderId="14" xfId="0" applyNumberFormat="1" applyFont="1" applyFill="1" applyBorder="1"/>
    <xf numFmtId="174" fontId="50" fillId="0" borderId="13" xfId="0" applyNumberFormat="1" applyFont="1" applyFill="1" applyBorder="1"/>
    <xf numFmtId="176" fontId="49" fillId="0" borderId="22" xfId="0" applyNumberFormat="1" applyFont="1" applyBorder="1"/>
    <xf numFmtId="176" fontId="49" fillId="0" borderId="19" xfId="0" applyNumberFormat="1" applyFont="1" applyBorder="1"/>
    <xf numFmtId="176" fontId="49" fillId="0" borderId="9" xfId="0" applyNumberFormat="1" applyFont="1" applyBorder="1"/>
    <xf numFmtId="172" fontId="53" fillId="0" borderId="0" xfId="0" applyNumberFormat="1" applyFont="1" applyAlignment="1">
      <alignment vertical="center"/>
    </xf>
    <xf numFmtId="4" fontId="26" fillId="0" borderId="24" xfId="0" applyNumberFormat="1" applyFont="1" applyFill="1" applyBorder="1" applyAlignment="1">
      <alignment horizontal="center" vertical="center" wrapText="1"/>
    </xf>
    <xf numFmtId="169" fontId="26" fillId="0" borderId="21" xfId="0" applyNumberFormat="1" applyFont="1" applyFill="1" applyBorder="1" applyAlignment="1">
      <alignment horizontal="center" vertical="center" wrapText="1"/>
    </xf>
    <xf numFmtId="169" fontId="26" fillId="0" borderId="67" xfId="0" applyNumberFormat="1" applyFont="1" applyFill="1" applyBorder="1" applyAlignment="1">
      <alignment horizontal="center" vertical="center" wrapText="1"/>
    </xf>
    <xf numFmtId="169" fontId="11" fillId="0" borderId="61" xfId="0" applyNumberFormat="1" applyFont="1" applyFill="1" applyBorder="1" applyAlignment="1">
      <alignment horizontal="center" vertical="center" wrapText="1"/>
    </xf>
    <xf numFmtId="165" fontId="28" fillId="0" borderId="55" xfId="0" applyNumberFormat="1" applyFont="1" applyFill="1" applyBorder="1" applyAlignment="1">
      <alignment horizontal="center" vertical="center" wrapText="1"/>
    </xf>
    <xf numFmtId="4" fontId="28" fillId="0" borderId="50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Fill="1" applyBorder="1" applyAlignment="1">
      <alignment horizontal="center"/>
    </xf>
    <xf numFmtId="3" fontId="26" fillId="0" borderId="19" xfId="0" applyNumberFormat="1" applyFont="1" applyFill="1" applyBorder="1" applyAlignment="1">
      <alignment horizontal="center"/>
    </xf>
    <xf numFmtId="3" fontId="26" fillId="0" borderId="19" xfId="0" applyNumberFormat="1" applyFont="1" applyFill="1" applyBorder="1" applyAlignment="1">
      <alignment horizontal="center" vertical="center"/>
    </xf>
    <xf numFmtId="3" fontId="26" fillId="0" borderId="42" xfId="0" applyNumberFormat="1" applyFont="1" applyFill="1" applyBorder="1" applyAlignment="1">
      <alignment horizontal="center"/>
    </xf>
    <xf numFmtId="4" fontId="26" fillId="0" borderId="22" xfId="0" applyNumberFormat="1" applyFont="1" applyFill="1" applyBorder="1" applyAlignment="1">
      <alignment horizontal="center"/>
    </xf>
    <xf numFmtId="4" fontId="26" fillId="0" borderId="19" xfId="0" applyNumberFormat="1" applyFont="1" applyFill="1" applyBorder="1" applyAlignment="1">
      <alignment horizontal="center"/>
    </xf>
    <xf numFmtId="4" fontId="26" fillId="0" borderId="19" xfId="0" applyNumberFormat="1" applyFont="1" applyFill="1" applyBorder="1" applyAlignment="1">
      <alignment horizontal="center" vertical="center"/>
    </xf>
    <xf numFmtId="4" fontId="26" fillId="0" borderId="12" xfId="0" applyNumberFormat="1" applyFont="1" applyFill="1" applyBorder="1"/>
    <xf numFmtId="169" fontId="28" fillId="0" borderId="19" xfId="0" applyNumberFormat="1" applyFont="1" applyFill="1" applyBorder="1" applyAlignment="1">
      <alignment horizontal="center" vertical="center" wrapText="1"/>
    </xf>
    <xf numFmtId="167" fontId="6" fillId="0" borderId="30" xfId="0" applyNumberFormat="1" applyFont="1" applyFill="1" applyBorder="1" applyAlignment="1">
      <alignment vertical="center" textRotation="90" wrapText="1"/>
    </xf>
    <xf numFmtId="0" fontId="0" fillId="0" borderId="30" xfId="0" applyFill="1" applyBorder="1" applyAlignment="1"/>
    <xf numFmtId="0" fontId="0" fillId="0" borderId="64" xfId="0" applyFill="1" applyBorder="1" applyAlignment="1"/>
    <xf numFmtId="3" fontId="26" fillId="0" borderId="4" xfId="3" applyNumberFormat="1" applyFont="1" applyFill="1" applyBorder="1" applyAlignment="1">
      <alignment horizontal="center" vertical="center" wrapText="1"/>
    </xf>
    <xf numFmtId="3" fontId="28" fillId="0" borderId="13" xfId="3" applyNumberFormat="1" applyFont="1" applyFill="1" applyBorder="1" applyAlignment="1">
      <alignment horizontal="center" vertical="center" wrapText="1"/>
    </xf>
    <xf numFmtId="3" fontId="26" fillId="0" borderId="13" xfId="3" applyNumberFormat="1" applyFont="1" applyFill="1" applyBorder="1" applyAlignment="1">
      <alignment horizontal="center" vertical="center" wrapText="1"/>
    </xf>
    <xf numFmtId="3" fontId="26" fillId="0" borderId="52" xfId="3" applyNumberFormat="1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54" fillId="0" borderId="0" xfId="0" applyFont="1" applyFill="1" applyBorder="1"/>
    <xf numFmtId="165" fontId="54" fillId="0" borderId="0" xfId="0" applyNumberFormat="1" applyFont="1" applyFill="1" applyBorder="1"/>
    <xf numFmtId="2" fontId="54" fillId="0" borderId="0" xfId="0" applyNumberFormat="1" applyFont="1" applyFill="1" applyBorder="1"/>
    <xf numFmtId="1" fontId="54" fillId="0" borderId="0" xfId="0" applyNumberFormat="1" applyFont="1" applyFill="1" applyBorder="1"/>
    <xf numFmtId="0" fontId="10" fillId="0" borderId="69" xfId="1" applyFont="1" applyBorder="1" applyAlignment="1">
      <alignment horizontal="center"/>
    </xf>
    <xf numFmtId="4" fontId="36" fillId="0" borderId="58" xfId="0" applyNumberFormat="1" applyFont="1" applyBorder="1" applyAlignment="1">
      <alignment horizontal="center" vertical="center"/>
    </xf>
    <xf numFmtId="169" fontId="36" fillId="0" borderId="28" xfId="0" applyNumberFormat="1" applyFont="1" applyBorder="1" applyAlignment="1">
      <alignment horizontal="center" vertical="center"/>
    </xf>
    <xf numFmtId="169" fontId="36" fillId="0" borderId="74" xfId="0" applyNumberFormat="1" applyFont="1" applyBorder="1" applyAlignment="1">
      <alignment horizontal="center" vertical="center"/>
    </xf>
    <xf numFmtId="3" fontId="36" fillId="0" borderId="41" xfId="0" applyNumberFormat="1" applyFont="1" applyBorder="1" applyAlignment="1">
      <alignment horizontal="center" vertical="center"/>
    </xf>
    <xf numFmtId="174" fontId="36" fillId="0" borderId="55" xfId="0" applyNumberFormat="1" applyFont="1" applyBorder="1" applyAlignment="1">
      <alignment horizontal="center" vertical="center"/>
    </xf>
    <xf numFmtId="3" fontId="36" fillId="0" borderId="23" xfId="0" applyNumberFormat="1" applyFont="1" applyBorder="1" applyAlignment="1">
      <alignment horizontal="center" vertical="center"/>
    </xf>
    <xf numFmtId="169" fontId="36" fillId="0" borderId="23" xfId="0" applyNumberFormat="1" applyFont="1" applyBorder="1" applyAlignment="1">
      <alignment horizontal="center" vertical="center"/>
    </xf>
    <xf numFmtId="169" fontId="36" fillId="0" borderId="25" xfId="0" applyNumberFormat="1" applyFont="1" applyBorder="1" applyAlignment="1">
      <alignment horizontal="center" vertical="center"/>
    </xf>
    <xf numFmtId="4" fontId="37" fillId="0" borderId="26" xfId="0" applyNumberFormat="1" applyFont="1" applyBorder="1" applyAlignment="1">
      <alignment horizontal="center" vertical="center"/>
    </xf>
    <xf numFmtId="3" fontId="36" fillId="0" borderId="55" xfId="0" applyNumberFormat="1" applyFont="1" applyBorder="1" applyAlignment="1">
      <alignment horizontal="center" vertical="center"/>
    </xf>
    <xf numFmtId="169" fontId="36" fillId="0" borderId="17" xfId="0" applyNumberFormat="1" applyFont="1" applyBorder="1" applyAlignment="1">
      <alignment horizontal="center" vertical="center"/>
    </xf>
    <xf numFmtId="3" fontId="36" fillId="0" borderId="54" xfId="0" applyNumberFormat="1" applyFont="1" applyBorder="1" applyAlignment="1">
      <alignment horizontal="center" vertical="center"/>
    </xf>
    <xf numFmtId="169" fontId="36" fillId="0" borderId="3" xfId="0" applyNumberFormat="1" applyFont="1" applyBorder="1" applyAlignment="1">
      <alignment horizontal="center" vertical="center"/>
    </xf>
    <xf numFmtId="169" fontId="36" fillId="0" borderId="20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3" fontId="10" fillId="3" borderId="19" xfId="1" applyNumberFormat="1" applyFont="1" applyFill="1" applyBorder="1" applyAlignment="1">
      <alignment vertical="center"/>
    </xf>
    <xf numFmtId="3" fontId="10" fillId="3" borderId="3" xfId="1" applyNumberFormat="1" applyFont="1" applyFill="1" applyBorder="1" applyAlignment="1">
      <alignment vertical="center"/>
    </xf>
    <xf numFmtId="3" fontId="36" fillId="0" borderId="0" xfId="0" applyNumberFormat="1" applyFont="1" applyAlignment="1">
      <alignment horizontal="center" vertical="center"/>
    </xf>
    <xf numFmtId="174" fontId="36" fillId="0" borderId="0" xfId="0" applyNumberFormat="1" applyFont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3" fontId="36" fillId="0" borderId="51" xfId="0" applyNumberFormat="1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3" fontId="36" fillId="0" borderId="50" xfId="0" applyNumberFormat="1" applyFont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174" fontId="56" fillId="0" borderId="57" xfId="0" applyNumberFormat="1" applyFont="1" applyBorder="1" applyAlignment="1">
      <alignment horizontal="center" vertical="center"/>
    </xf>
    <xf numFmtId="4" fontId="57" fillId="0" borderId="59" xfId="0" applyNumberFormat="1" applyFont="1" applyBorder="1" applyAlignment="1">
      <alignment horizontal="center" vertical="center"/>
    </xf>
    <xf numFmtId="1" fontId="6" fillId="0" borderId="46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1" fontId="63" fillId="0" borderId="1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" fontId="7" fillId="0" borderId="42" xfId="0" applyNumberFormat="1" applyFont="1" applyFill="1" applyBorder="1" applyAlignment="1">
      <alignment horizontal="left" vertical="center" wrapText="1"/>
    </xf>
    <xf numFmtId="49" fontId="26" fillId="0" borderId="36" xfId="0" applyNumberFormat="1" applyFont="1" applyFill="1" applyBorder="1" applyAlignment="1">
      <alignment wrapText="1"/>
    </xf>
    <xf numFmtId="1" fontId="28" fillId="0" borderId="43" xfId="0" applyNumberFormat="1" applyFont="1" applyFill="1" applyBorder="1" applyAlignment="1">
      <alignment horizontal="left" vertical="center" wrapText="1"/>
    </xf>
    <xf numFmtId="0" fontId="28" fillId="0" borderId="36" xfId="0" applyNumberFormat="1" applyFont="1" applyFill="1" applyBorder="1" applyAlignment="1">
      <alignment horizontal="left" vertical="center" wrapText="1"/>
    </xf>
    <xf numFmtId="1" fontId="26" fillId="0" borderId="43" xfId="0" applyNumberFormat="1" applyFont="1" applyFill="1" applyBorder="1" applyAlignment="1">
      <alignment horizontal="right" vertical="center" wrapText="1"/>
    </xf>
    <xf numFmtId="1" fontId="26" fillId="0" borderId="43" xfId="0" applyNumberFormat="1" applyFont="1" applyFill="1" applyBorder="1" applyAlignment="1">
      <alignment horizontal="left" vertical="center" wrapText="1"/>
    </xf>
    <xf numFmtId="1" fontId="32" fillId="0" borderId="43" xfId="0" applyNumberFormat="1" applyFont="1" applyFill="1" applyBorder="1" applyAlignment="1">
      <alignment horizontal="right" vertical="center" wrapText="1"/>
    </xf>
    <xf numFmtId="1" fontId="28" fillId="0" borderId="36" xfId="0" applyNumberFormat="1" applyFont="1" applyFill="1" applyBorder="1" applyAlignment="1">
      <alignment horizontal="left" vertical="center" wrapText="1"/>
    </xf>
    <xf numFmtId="1" fontId="26" fillId="0" borderId="46" xfId="0" applyNumberFormat="1" applyFont="1" applyFill="1" applyBorder="1" applyAlignment="1">
      <alignment horizontal="left" vertical="center" wrapText="1"/>
    </xf>
    <xf numFmtId="167" fontId="14" fillId="0" borderId="48" xfId="0" applyNumberFormat="1" applyFont="1" applyFill="1" applyBorder="1" applyAlignment="1">
      <alignment horizontal="center" vertical="justify" wrapText="1"/>
    </xf>
    <xf numFmtId="1" fontId="37" fillId="0" borderId="43" xfId="0" applyNumberFormat="1" applyFont="1" applyFill="1" applyBorder="1" applyAlignment="1">
      <alignment horizontal="left" vertical="center" wrapText="1"/>
    </xf>
    <xf numFmtId="167" fontId="64" fillId="0" borderId="44" xfId="0" applyNumberFormat="1" applyFont="1" applyFill="1" applyBorder="1" applyAlignment="1">
      <alignment horizontal="center" vertical="justify" wrapText="1"/>
    </xf>
    <xf numFmtId="49" fontId="36" fillId="0" borderId="43" xfId="0" applyNumberFormat="1" applyFont="1" applyFill="1" applyBorder="1" applyAlignment="1">
      <alignment vertical="center" wrapText="1"/>
    </xf>
    <xf numFmtId="1" fontId="7" fillId="0" borderId="43" xfId="0" applyNumberFormat="1" applyFont="1" applyFill="1" applyBorder="1" applyAlignment="1">
      <alignment horizontal="left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3" xfId="3" applyNumberFormat="1" applyFont="1" applyFill="1" applyBorder="1" applyAlignment="1">
      <alignment horizontal="center" vertical="center" wrapText="1"/>
    </xf>
    <xf numFmtId="3" fontId="10" fillId="0" borderId="12" xfId="3" applyNumberFormat="1" applyFont="1" applyFill="1" applyBorder="1" applyAlignment="1">
      <alignment horizontal="center" vertical="center" wrapText="1"/>
    </xf>
    <xf numFmtId="169" fontId="5" fillId="0" borderId="2" xfId="0" applyNumberFormat="1" applyFont="1" applyFill="1" applyBorder="1" applyAlignment="1">
      <alignment horizontal="center" vertical="center" wrapText="1"/>
    </xf>
    <xf numFmtId="16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9" fontId="26" fillId="0" borderId="43" xfId="0" applyNumberFormat="1" applyFont="1" applyFill="1" applyBorder="1" applyAlignment="1">
      <alignment horizontal="center" vertical="center"/>
    </xf>
    <xf numFmtId="169" fontId="26" fillId="0" borderId="43" xfId="0" applyNumberFormat="1" applyFont="1" applyFill="1" applyBorder="1" applyAlignment="1">
      <alignment horizontal="center"/>
    </xf>
    <xf numFmtId="169" fontId="26" fillId="0" borderId="46" xfId="0" applyNumberFormat="1" applyFont="1" applyFill="1" applyBorder="1"/>
    <xf numFmtId="169" fontId="10" fillId="0" borderId="3" xfId="0" applyNumberFormat="1" applyFont="1" applyFill="1" applyBorder="1" applyAlignment="1">
      <alignment horizontal="center" vertical="center"/>
    </xf>
    <xf numFmtId="169" fontId="5" fillId="0" borderId="0" xfId="0" applyNumberFormat="1" applyFont="1" applyFill="1"/>
    <xf numFmtId="169" fontId="6" fillId="0" borderId="3" xfId="0" applyNumberFormat="1" applyFont="1" applyFill="1" applyBorder="1" applyAlignment="1">
      <alignment horizontal="center" vertical="center"/>
    </xf>
    <xf numFmtId="169" fontId="2" fillId="0" borderId="0" xfId="0" applyNumberFormat="1" applyFont="1" applyFill="1" applyBorder="1"/>
    <xf numFmtId="169" fontId="10" fillId="0" borderId="0" xfId="0" applyNumberFormat="1" applyFont="1" applyFill="1"/>
    <xf numFmtId="169" fontId="3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4" fontId="26" fillId="0" borderId="27" xfId="0" applyNumberFormat="1" applyFont="1" applyFill="1" applyBorder="1" applyAlignment="1">
      <alignment horizontal="center" vertical="center" wrapText="1"/>
    </xf>
    <xf numFmtId="4" fontId="26" fillId="0" borderId="45" xfId="0" applyNumberFormat="1" applyFont="1" applyFill="1" applyBorder="1" applyAlignment="1">
      <alignment horizontal="center" vertical="center" wrapText="1"/>
    </xf>
    <xf numFmtId="4" fontId="26" fillId="0" borderId="13" xfId="0" applyNumberFormat="1" applyFont="1" applyFill="1" applyBorder="1" applyAlignment="1">
      <alignment horizontal="center" vertical="center" wrapText="1"/>
    </xf>
    <xf numFmtId="4" fontId="26" fillId="0" borderId="5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/>
    </xf>
    <xf numFmtId="1" fontId="10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169" fontId="13" fillId="0" borderId="0" xfId="0" applyNumberFormat="1" applyFont="1" applyFill="1" applyBorder="1"/>
    <xf numFmtId="169" fontId="6" fillId="0" borderId="0" xfId="0" applyNumberFormat="1" applyFont="1" applyFill="1"/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3" xfId="3" applyNumberFormat="1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2" xfId="3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4" fontId="26" fillId="0" borderId="23" xfId="0" applyNumberFormat="1" applyFont="1" applyFill="1" applyBorder="1" applyAlignment="1">
      <alignment horizontal="center" vertical="center" wrapText="1"/>
    </xf>
    <xf numFmtId="169" fontId="26" fillId="0" borderId="3" xfId="0" applyNumberFormat="1" applyFont="1" applyFill="1" applyBorder="1" applyAlignment="1">
      <alignment horizontal="center" vertical="center" wrapText="1"/>
    </xf>
    <xf numFmtId="169" fontId="26" fillId="0" borderId="1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/>
    </xf>
    <xf numFmtId="167" fontId="10" fillId="0" borderId="0" xfId="0" applyNumberFormat="1" applyFont="1" applyFill="1" applyAlignment="1">
      <alignment horizontal="center"/>
    </xf>
    <xf numFmtId="1" fontId="6" fillId="0" borderId="6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Alignment="1">
      <alignment horizontal="center" vertical="center"/>
    </xf>
    <xf numFmtId="169" fontId="7" fillId="0" borderId="3" xfId="0" applyNumberFormat="1" applyFont="1" applyFill="1" applyBorder="1" applyAlignment="1">
      <alignment horizontal="center" vertical="center"/>
    </xf>
    <xf numFmtId="169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69" fontId="7" fillId="0" borderId="8" xfId="0" applyNumberFormat="1" applyFont="1" applyFill="1" applyBorder="1" applyAlignment="1">
      <alignment horizontal="center" vertical="center" wrapText="1"/>
    </xf>
    <xf numFmtId="3" fontId="65" fillId="0" borderId="9" xfId="0" applyNumberFormat="1" applyFont="1" applyFill="1" applyBorder="1" applyAlignment="1">
      <alignment horizontal="center" vertical="center" wrapText="1"/>
    </xf>
    <xf numFmtId="3" fontId="65" fillId="0" borderId="8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/>
    <xf numFmtId="167" fontId="66" fillId="0" borderId="0" xfId="0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horizontal="center" vertical="center"/>
    </xf>
    <xf numFmtId="3" fontId="11" fillId="3" borderId="13" xfId="1" applyNumberFormat="1" applyFont="1" applyFill="1" applyBorder="1" applyAlignment="1">
      <alignment vertical="center"/>
    </xf>
    <xf numFmtId="0" fontId="6" fillId="0" borderId="0" xfId="0" applyFont="1"/>
    <xf numFmtId="0" fontId="10" fillId="0" borderId="0" xfId="0" applyFont="1"/>
    <xf numFmtId="0" fontId="6" fillId="0" borderId="0" xfId="0" applyFont="1" applyAlignment="1"/>
    <xf numFmtId="4" fontId="10" fillId="0" borderId="0" xfId="0" applyNumberFormat="1" applyFont="1"/>
    <xf numFmtId="0" fontId="6" fillId="0" borderId="0" xfId="0" applyFont="1" applyAlignment="1">
      <alignment horizontal="left"/>
    </xf>
    <xf numFmtId="0" fontId="6" fillId="0" borderId="6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4" fontId="6" fillId="0" borderId="0" xfId="0" applyNumberFormat="1" applyFont="1"/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166" fontId="6" fillId="0" borderId="2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166" fontId="6" fillId="0" borderId="23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" fontId="6" fillId="0" borderId="28" xfId="0" applyNumberFormat="1" applyFont="1" applyFill="1" applyBorder="1" applyAlignment="1">
      <alignment horizontal="center" vertical="center"/>
    </xf>
    <xf numFmtId="174" fontId="6" fillId="0" borderId="8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174" fontId="67" fillId="0" borderId="23" xfId="0" applyNumberFormat="1" applyFont="1" applyFill="1" applyBorder="1" applyAlignment="1">
      <alignment horizontal="center" vertical="center"/>
    </xf>
    <xf numFmtId="174" fontId="67" fillId="0" borderId="26" xfId="0" applyNumberFormat="1" applyFont="1" applyFill="1" applyBorder="1" applyAlignment="1">
      <alignment horizontal="center" vertical="center"/>
    </xf>
    <xf numFmtId="4" fontId="68" fillId="0" borderId="0" xfId="0" applyNumberFormat="1" applyFont="1" applyBorder="1" applyAlignment="1">
      <alignment horizontal="center"/>
    </xf>
    <xf numFmtId="174" fontId="67" fillId="0" borderId="8" xfId="0" applyNumberFormat="1" applyFont="1" applyFill="1" applyBorder="1" applyAlignment="1">
      <alignment horizontal="center" vertical="center"/>
    </xf>
    <xf numFmtId="174" fontId="67" fillId="0" borderId="39" xfId="0" applyNumberFormat="1" applyFont="1" applyFill="1" applyBorder="1" applyAlignment="1">
      <alignment horizontal="center" vertical="center"/>
    </xf>
    <xf numFmtId="3" fontId="69" fillId="0" borderId="23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174" fontId="67" fillId="0" borderId="32" xfId="0" applyNumberFormat="1" applyFont="1" applyFill="1" applyBorder="1" applyAlignment="1">
      <alignment horizontal="center" vertical="center"/>
    </xf>
    <xf numFmtId="3" fontId="69" fillId="0" borderId="8" xfId="0" applyNumberFormat="1" applyFont="1" applyFill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0" fontId="60" fillId="0" borderId="64" xfId="0" applyFont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/>
    </xf>
    <xf numFmtId="2" fontId="6" fillId="0" borderId="58" xfId="0" applyNumberFormat="1" applyFont="1" applyFill="1" applyBorder="1" applyAlignment="1">
      <alignment horizontal="center" vertical="center"/>
    </xf>
    <xf numFmtId="49" fontId="6" fillId="0" borderId="58" xfId="0" applyNumberFormat="1" applyFont="1" applyFill="1" applyBorder="1" applyAlignment="1">
      <alignment horizontal="center" vertical="center"/>
    </xf>
    <xf numFmtId="174" fontId="67" fillId="0" borderId="58" xfId="0" applyNumberFormat="1" applyFont="1" applyFill="1" applyBorder="1" applyAlignment="1">
      <alignment horizontal="center" vertical="center"/>
    </xf>
    <xf numFmtId="174" fontId="67" fillId="0" borderId="5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8" fillId="0" borderId="0" xfId="0" applyNumberFormat="1" applyFont="1" applyFill="1" applyBorder="1" applyAlignment="1">
      <alignment horizontal="center"/>
    </xf>
    <xf numFmtId="0" fontId="60" fillId="0" borderId="58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 wrapText="1"/>
    </xf>
    <xf numFmtId="49" fontId="60" fillId="0" borderId="58" xfId="0" applyNumberFormat="1" applyFont="1" applyBorder="1" applyAlignment="1">
      <alignment horizontal="center" vertical="center"/>
    </xf>
    <xf numFmtId="174" fontId="52" fillId="0" borderId="58" xfId="0" applyNumberFormat="1" applyFont="1" applyFill="1" applyBorder="1" applyAlignment="1">
      <alignment horizontal="center" vertical="center"/>
    </xf>
    <xf numFmtId="174" fontId="52" fillId="0" borderId="59" xfId="0" applyNumberFormat="1" applyFont="1" applyFill="1" applyBorder="1" applyAlignment="1">
      <alignment horizontal="center" vertical="center"/>
    </xf>
    <xf numFmtId="4" fontId="60" fillId="0" borderId="0" xfId="0" applyNumberFormat="1" applyFont="1"/>
    <xf numFmtId="0" fontId="60" fillId="0" borderId="0" xfId="0" applyFont="1"/>
    <xf numFmtId="174" fontId="10" fillId="0" borderId="0" xfId="0" applyNumberFormat="1" applyFont="1"/>
    <xf numFmtId="4" fontId="6" fillId="0" borderId="0" xfId="0" applyNumberFormat="1" applyFont="1" applyAlignment="1">
      <alignment horizontal="center"/>
    </xf>
    <xf numFmtId="174" fontId="7" fillId="0" borderId="0" xfId="0" applyNumberFormat="1" applyFont="1" applyFill="1" applyBorder="1" applyAlignment="1">
      <alignment vertical="center"/>
    </xf>
    <xf numFmtId="1" fontId="26" fillId="0" borderId="17" xfId="0" applyNumberFormat="1" applyFont="1" applyFill="1" applyBorder="1" applyAlignment="1">
      <alignment horizontal="center" vertical="center"/>
    </xf>
    <xf numFmtId="0" fontId="36" fillId="0" borderId="0" xfId="0" applyNumberFormat="1" applyFont="1" applyAlignment="1">
      <alignment horizontal="justify" vertical="center"/>
    </xf>
    <xf numFmtId="0" fontId="36" fillId="0" borderId="0" xfId="0" applyFont="1" applyAlignment="1">
      <alignment vertical="top"/>
    </xf>
    <xf numFmtId="0" fontId="36" fillId="0" borderId="3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/>
    </xf>
    <xf numFmtId="0" fontId="36" fillId="0" borderId="3" xfId="0" applyFont="1" applyBorder="1" applyAlignment="1">
      <alignment horizontal="center" vertical="center"/>
    </xf>
    <xf numFmtId="0" fontId="36" fillId="0" borderId="3" xfId="0" applyNumberFormat="1" applyFont="1" applyBorder="1" applyAlignment="1">
      <alignment horizontal="justify" vertical="center"/>
    </xf>
    <xf numFmtId="4" fontId="36" fillId="0" borderId="3" xfId="0" applyNumberFormat="1" applyFont="1" applyBorder="1" applyAlignment="1">
      <alignment horizontal="center" vertical="center"/>
    </xf>
    <xf numFmtId="169" fontId="37" fillId="6" borderId="3" xfId="0" applyNumberFormat="1" applyFont="1" applyFill="1" applyBorder="1" applyAlignment="1">
      <alignment horizontal="center" vertical="center"/>
    </xf>
    <xf numFmtId="3" fontId="37" fillId="6" borderId="3" xfId="0" applyNumberFormat="1" applyFont="1" applyFill="1" applyBorder="1" applyAlignment="1">
      <alignment horizontal="center" vertical="center"/>
    </xf>
    <xf numFmtId="4" fontId="37" fillId="6" borderId="3" xfId="0" applyNumberFormat="1" applyFont="1" applyFill="1" applyBorder="1" applyAlignment="1">
      <alignment horizontal="center" vertical="center"/>
    </xf>
    <xf numFmtId="166" fontId="10" fillId="0" borderId="0" xfId="0" applyNumberFormat="1" applyFont="1"/>
    <xf numFmtId="0" fontId="70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49" fontId="60" fillId="0" borderId="0" xfId="0" applyNumberFormat="1" applyFont="1" applyBorder="1" applyAlignment="1">
      <alignment horizontal="center" vertical="center"/>
    </xf>
    <xf numFmtId="174" fontId="52" fillId="0" borderId="0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3" fontId="7" fillId="0" borderId="57" xfId="1" applyNumberFormat="1" applyFont="1" applyFill="1" applyBorder="1"/>
    <xf numFmtId="3" fontId="7" fillId="0" borderId="58" xfId="1" applyNumberFormat="1" applyFont="1" applyFill="1" applyBorder="1"/>
    <xf numFmtId="3" fontId="7" fillId="0" borderId="59" xfId="1" applyNumberFormat="1" applyFont="1" applyFill="1" applyBorder="1"/>
    <xf numFmtId="3" fontId="23" fillId="0" borderId="13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justify" vertical="center"/>
    </xf>
    <xf numFmtId="3" fontId="36" fillId="0" borderId="1" xfId="0" applyNumberFormat="1" applyFont="1" applyBorder="1" applyAlignment="1">
      <alignment horizontal="center" vertical="center"/>
    </xf>
    <xf numFmtId="4" fontId="68" fillId="0" borderId="0" xfId="0" applyNumberFormat="1" applyFont="1" applyBorder="1" applyAlignment="1">
      <alignment horizontal="right"/>
    </xf>
    <xf numFmtId="0" fontId="68" fillId="0" borderId="0" xfId="0" applyFont="1"/>
    <xf numFmtId="0" fontId="9" fillId="0" borderId="58" xfId="0" applyFont="1" applyFill="1" applyBorder="1" applyAlignment="1">
      <alignment horizontal="center" vertical="center" wrapText="1"/>
    </xf>
    <xf numFmtId="3" fontId="26" fillId="3" borderId="19" xfId="0" applyNumberFormat="1" applyFont="1" applyFill="1" applyBorder="1" applyAlignment="1">
      <alignment horizontal="center" vertical="center" wrapText="1"/>
    </xf>
    <xf numFmtId="0" fontId="0" fillId="3" borderId="30" xfId="0" applyFill="1" applyBorder="1" applyAlignment="1"/>
    <xf numFmtId="4" fontId="28" fillId="3" borderId="50" xfId="0" applyNumberFormat="1" applyFont="1" applyFill="1" applyBorder="1" applyAlignment="1">
      <alignment horizontal="center" vertical="center" wrapText="1"/>
    </xf>
    <xf numFmtId="4" fontId="26" fillId="3" borderId="2" xfId="0" applyNumberFormat="1" applyFont="1" applyFill="1" applyBorder="1" applyAlignment="1">
      <alignment horizontal="center" vertical="center" wrapText="1"/>
    </xf>
    <xf numFmtId="4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26" fillId="3" borderId="2" xfId="0" applyNumberFormat="1" applyFont="1" applyFill="1" applyBorder="1" applyAlignment="1">
      <alignment horizontal="center" vertical="center" wrapText="1"/>
    </xf>
    <xf numFmtId="2" fontId="26" fillId="3" borderId="2" xfId="0" applyNumberFormat="1" applyFont="1" applyFill="1" applyBorder="1" applyAlignment="1">
      <alignment horizontal="center" vertical="center" wrapText="1"/>
    </xf>
    <xf numFmtId="1" fontId="26" fillId="3" borderId="2" xfId="0" applyNumberFormat="1" applyFont="1" applyFill="1" applyBorder="1" applyAlignment="1">
      <alignment horizontal="center" vertical="center" wrapText="1"/>
    </xf>
    <xf numFmtId="1" fontId="26" fillId="3" borderId="5" xfId="0" applyNumberFormat="1" applyFont="1" applyFill="1" applyBorder="1" applyAlignment="1">
      <alignment horizontal="center" vertical="center" wrapText="1"/>
    </xf>
    <xf numFmtId="169" fontId="26" fillId="3" borderId="19" xfId="0" applyNumberFormat="1" applyFont="1" applyFill="1" applyBorder="1" applyAlignment="1">
      <alignment horizontal="center" vertical="center" wrapText="1"/>
    </xf>
    <xf numFmtId="169" fontId="26" fillId="3" borderId="3" xfId="0" applyNumberFormat="1" applyFont="1" applyFill="1" applyBorder="1" applyAlignment="1">
      <alignment horizontal="center" vertical="center" wrapText="1"/>
    </xf>
    <xf numFmtId="169" fontId="26" fillId="3" borderId="21" xfId="0" applyNumberFormat="1" applyFont="1" applyFill="1" applyBorder="1" applyAlignment="1">
      <alignment horizontal="center" vertical="center" wrapText="1"/>
    </xf>
    <xf numFmtId="169" fontId="26" fillId="3" borderId="43" xfId="0" applyNumberFormat="1" applyFont="1" applyFill="1" applyBorder="1" applyAlignment="1">
      <alignment horizontal="center" vertical="center"/>
    </xf>
    <xf numFmtId="3" fontId="26" fillId="3" borderId="19" xfId="0" applyNumberFormat="1" applyFont="1" applyFill="1" applyBorder="1" applyAlignment="1">
      <alignment horizontal="center"/>
    </xf>
    <xf numFmtId="4" fontId="26" fillId="3" borderId="19" xfId="0" applyNumberFormat="1" applyFont="1" applyFill="1" applyBorder="1" applyAlignment="1">
      <alignment horizontal="center" vertical="center"/>
    </xf>
    <xf numFmtId="4" fontId="26" fillId="3" borderId="3" xfId="0" applyNumberFormat="1" applyFont="1" applyFill="1" applyBorder="1" applyAlignment="1">
      <alignment horizontal="center" vertical="center" wrapText="1"/>
    </xf>
    <xf numFmtId="4" fontId="26" fillId="3" borderId="45" xfId="0" applyNumberFormat="1" applyFont="1" applyFill="1" applyBorder="1" applyAlignment="1">
      <alignment horizontal="center" vertical="center" wrapText="1"/>
    </xf>
    <xf numFmtId="3" fontId="26" fillId="3" borderId="43" xfId="0" applyNumberFormat="1" applyFont="1" applyFill="1" applyBorder="1" applyAlignment="1">
      <alignment horizontal="center" vertical="center" wrapText="1"/>
    </xf>
    <xf numFmtId="4" fontId="26" fillId="3" borderId="43" xfId="0" applyNumberFormat="1" applyFont="1" applyFill="1" applyBorder="1" applyAlignment="1">
      <alignment horizontal="center" vertical="center" wrapText="1"/>
    </xf>
    <xf numFmtId="1" fontId="26" fillId="3" borderId="50" xfId="0" applyNumberFormat="1" applyFont="1" applyFill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1" fontId="26" fillId="3" borderId="6" xfId="0" applyNumberFormat="1" applyFont="1" applyFill="1" applyBorder="1" applyAlignment="1">
      <alignment horizontal="center" vertical="center" wrapText="1"/>
    </xf>
    <xf numFmtId="1" fontId="26" fillId="3" borderId="4" xfId="0" applyNumberFormat="1" applyFont="1" applyFill="1" applyBorder="1" applyAlignment="1">
      <alignment horizontal="center" vertical="center" wrapText="1"/>
    </xf>
    <xf numFmtId="1" fontId="26" fillId="3" borderId="51" xfId="0" applyNumberFormat="1" applyFont="1" applyFill="1" applyBorder="1" applyAlignment="1">
      <alignment horizontal="center" vertical="center" wrapText="1"/>
    </xf>
    <xf numFmtId="1" fontId="26" fillId="3" borderId="7" xfId="0" applyNumberFormat="1" applyFont="1" applyFill="1" applyBorder="1" applyAlignment="1">
      <alignment horizontal="center" vertical="center" wrapText="1"/>
    </xf>
    <xf numFmtId="1" fontId="26" fillId="3" borderId="31" xfId="0" applyNumberFormat="1" applyFont="1" applyFill="1" applyBorder="1" applyAlignment="1">
      <alignment horizontal="center" vertical="center" wrapText="1"/>
    </xf>
    <xf numFmtId="169" fontId="26" fillId="3" borderId="1" xfId="0" applyNumberFormat="1" applyFont="1" applyFill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/>
    </xf>
    <xf numFmtId="1" fontId="26" fillId="3" borderId="1" xfId="0" applyNumberFormat="1" applyFont="1" applyFill="1" applyBorder="1"/>
    <xf numFmtId="2" fontId="26" fillId="3" borderId="1" xfId="0" applyNumberFormat="1" applyFont="1" applyFill="1" applyBorder="1"/>
    <xf numFmtId="1" fontId="26" fillId="3" borderId="4" xfId="0" applyNumberFormat="1" applyFont="1" applyFill="1" applyBorder="1"/>
    <xf numFmtId="1" fontId="26" fillId="3" borderId="2" xfId="0" applyNumberFormat="1" applyFont="1" applyFill="1" applyBorder="1"/>
    <xf numFmtId="1" fontId="26" fillId="3" borderId="7" xfId="0" applyNumberFormat="1" applyFont="1" applyFill="1" applyBorder="1"/>
    <xf numFmtId="1" fontId="6" fillId="3" borderId="7" xfId="0" applyNumberFormat="1" applyFont="1" applyFill="1" applyBorder="1"/>
    <xf numFmtId="4" fontId="10" fillId="3" borderId="0" xfId="0" applyNumberFormat="1" applyFont="1" applyFill="1"/>
    <xf numFmtId="4" fontId="26" fillId="3" borderId="19" xfId="0" applyNumberFormat="1" applyFont="1" applyFill="1" applyBorder="1" applyAlignment="1">
      <alignment horizontal="center"/>
    </xf>
    <xf numFmtId="3" fontId="26" fillId="3" borderId="19" xfId="0" applyNumberFormat="1" applyFont="1" applyFill="1" applyBorder="1" applyAlignment="1">
      <alignment horizontal="center" vertical="center"/>
    </xf>
    <xf numFmtId="3" fontId="26" fillId="3" borderId="1" xfId="0" applyNumberFormat="1" applyFont="1" applyFill="1" applyBorder="1" applyAlignment="1">
      <alignment horizontal="center" vertical="center"/>
    </xf>
    <xf numFmtId="1" fontId="26" fillId="3" borderId="43" xfId="0" applyNumberFormat="1" applyFont="1" applyFill="1" applyBorder="1" applyAlignment="1">
      <alignment horizontal="right" vertical="center" wrapText="1"/>
    </xf>
    <xf numFmtId="169" fontId="26" fillId="3" borderId="43" xfId="0" applyNumberFormat="1" applyFont="1" applyFill="1" applyBorder="1" applyAlignment="1">
      <alignment horizontal="center"/>
    </xf>
    <xf numFmtId="169" fontId="26" fillId="3" borderId="43" xfId="0" applyNumberFormat="1" applyFont="1" applyFill="1" applyBorder="1" applyAlignment="1">
      <alignment horizontal="center" vertical="center" wrapText="1"/>
    </xf>
    <xf numFmtId="49" fontId="26" fillId="3" borderId="43" xfId="0" applyNumberFormat="1" applyFont="1" applyFill="1" applyBorder="1" applyAlignment="1">
      <alignment horizontal="left" vertical="center" wrapText="1"/>
    </xf>
    <xf numFmtId="4" fontId="26" fillId="3" borderId="19" xfId="0" applyNumberFormat="1" applyFont="1" applyFill="1" applyBorder="1" applyAlignment="1">
      <alignment horizontal="center" vertical="center" wrapText="1"/>
    </xf>
    <xf numFmtId="4" fontId="26" fillId="3" borderId="13" xfId="0" applyNumberFormat="1" applyFont="1" applyFill="1" applyBorder="1" applyAlignment="1">
      <alignment horizontal="center" vertical="center" wrapText="1"/>
    </xf>
    <xf numFmtId="49" fontId="26" fillId="3" borderId="43" xfId="0" applyNumberFormat="1" applyFont="1" applyFill="1" applyBorder="1" applyAlignment="1">
      <alignment horizontal="right" wrapText="1"/>
    </xf>
    <xf numFmtId="49" fontId="26" fillId="3" borderId="43" xfId="0" applyNumberFormat="1" applyFont="1" applyFill="1" applyBorder="1" applyAlignment="1">
      <alignment horizontal="left" wrapText="1"/>
    </xf>
    <xf numFmtId="1" fontId="26" fillId="3" borderId="36" xfId="0" applyNumberFormat="1" applyFont="1" applyFill="1" applyBorder="1" applyAlignment="1">
      <alignment horizontal="right" vertical="center" wrapText="1"/>
    </xf>
    <xf numFmtId="1" fontId="26" fillId="3" borderId="43" xfId="0" applyNumberFormat="1" applyFont="1" applyFill="1" applyBorder="1" applyAlignment="1">
      <alignment horizontal="left" vertical="center" wrapText="1"/>
    </xf>
    <xf numFmtId="1" fontId="26" fillId="3" borderId="43" xfId="0" applyNumberFormat="1" applyFont="1" applyFill="1" applyBorder="1" applyAlignment="1">
      <alignment horizontal="left" vertical="top" wrapText="1"/>
    </xf>
    <xf numFmtId="49" fontId="23" fillId="3" borderId="35" xfId="0" applyNumberFormat="1" applyFont="1" applyFill="1" applyBorder="1" applyAlignment="1">
      <alignment horizontal="left" wrapText="1"/>
    </xf>
    <xf numFmtId="0" fontId="26" fillId="3" borderId="43" xfId="0" applyNumberFormat="1" applyFont="1" applyFill="1" applyBorder="1" applyAlignment="1">
      <alignment horizontal="right" vertical="center" wrapText="1"/>
    </xf>
    <xf numFmtId="0" fontId="26" fillId="3" borderId="36" xfId="0" applyNumberFormat="1" applyFont="1" applyFill="1" applyBorder="1" applyAlignment="1">
      <alignment horizontal="right" vertical="center" wrapText="1"/>
    </xf>
    <xf numFmtId="1" fontId="26" fillId="3" borderId="36" xfId="0" applyNumberFormat="1" applyFont="1" applyFill="1" applyBorder="1" applyAlignment="1">
      <alignment horizontal="left" vertical="center" wrapText="1"/>
    </xf>
    <xf numFmtId="170" fontId="26" fillId="3" borderId="7" xfId="0" applyNumberFormat="1" applyFont="1" applyFill="1" applyBorder="1"/>
    <xf numFmtId="0" fontId="26" fillId="3" borderId="43" xfId="0" applyNumberFormat="1" applyFont="1" applyFill="1" applyBorder="1" applyAlignment="1">
      <alignment horizontal="left" vertical="center" wrapText="1"/>
    </xf>
    <xf numFmtId="3" fontId="25" fillId="0" borderId="23" xfId="0" applyNumberFormat="1" applyFont="1" applyFill="1" applyBorder="1" applyAlignment="1">
      <alignment horizontal="center" vertical="center"/>
    </xf>
    <xf numFmtId="3" fontId="23" fillId="0" borderId="3" xfId="0" applyNumberFormat="1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left" vertical="center"/>
    </xf>
    <xf numFmtId="3" fontId="25" fillId="0" borderId="26" xfId="0" applyNumberFormat="1" applyFont="1" applyFill="1" applyBorder="1" applyAlignment="1">
      <alignment horizontal="center" vertical="center"/>
    </xf>
    <xf numFmtId="49" fontId="23" fillId="0" borderId="51" xfId="0" applyNumberFormat="1" applyFont="1" applyFill="1" applyBorder="1" applyAlignment="1">
      <alignment horizontal="left" vertical="top" wrapText="1"/>
    </xf>
    <xf numFmtId="174" fontId="6" fillId="0" borderId="23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 wrapText="1"/>
    </xf>
    <xf numFmtId="169" fontId="26" fillId="0" borderId="23" xfId="0" applyNumberFormat="1" applyFont="1" applyFill="1" applyBorder="1" applyAlignment="1">
      <alignment horizontal="center"/>
    </xf>
    <xf numFmtId="169" fontId="6" fillId="0" borderId="1" xfId="0" applyNumberFormat="1" applyFont="1" applyFill="1" applyBorder="1" applyAlignment="1">
      <alignment horizontal="center"/>
    </xf>
    <xf numFmtId="16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 wrapText="1"/>
    </xf>
    <xf numFmtId="169" fontId="30" fillId="0" borderId="19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/>
    <xf numFmtId="4" fontId="36" fillId="0" borderId="20" xfId="0" applyNumberFormat="1" applyFont="1" applyBorder="1" applyAlignment="1">
      <alignment vertical="center"/>
    </xf>
    <xf numFmtId="174" fontId="50" fillId="0" borderId="23" xfId="0" applyNumberFormat="1" applyFont="1" applyFill="1" applyBorder="1"/>
    <xf numFmtId="174" fontId="50" fillId="0" borderId="3" xfId="0" applyNumberFormat="1" applyFont="1" applyFill="1" applyBorder="1"/>
    <xf numFmtId="169" fontId="26" fillId="3" borderId="2" xfId="0" applyNumberFormat="1" applyFont="1" applyFill="1" applyBorder="1" applyAlignment="1">
      <alignment horizontal="center" vertical="center" wrapText="1"/>
    </xf>
    <xf numFmtId="169" fontId="26" fillId="0" borderId="22" xfId="0" applyNumberFormat="1" applyFont="1" applyFill="1" applyBorder="1" applyAlignment="1">
      <alignment horizontal="center"/>
    </xf>
    <xf numFmtId="169" fontId="26" fillId="0" borderId="25" xfId="0" applyNumberFormat="1" applyFont="1" applyFill="1" applyBorder="1" applyAlignment="1">
      <alignment horizontal="center"/>
    </xf>
    <xf numFmtId="169" fontId="26" fillId="0" borderId="26" xfId="0" applyNumberFormat="1" applyFont="1" applyFill="1" applyBorder="1" applyAlignment="1">
      <alignment horizontal="center"/>
    </xf>
    <xf numFmtId="169" fontId="26" fillId="0" borderId="19" xfId="0" applyNumberFormat="1" applyFont="1" applyFill="1" applyBorder="1" applyAlignment="1">
      <alignment horizontal="center" vertical="center"/>
    </xf>
    <xf numFmtId="169" fontId="26" fillId="0" borderId="20" xfId="0" applyNumberFormat="1" applyFont="1" applyFill="1" applyBorder="1" applyAlignment="1">
      <alignment horizontal="center" vertical="center"/>
    </xf>
    <xf numFmtId="169" fontId="26" fillId="0" borderId="3" xfId="0" applyNumberFormat="1" applyFont="1" applyFill="1" applyBorder="1" applyAlignment="1">
      <alignment horizontal="center" vertical="center"/>
    </xf>
    <xf numFmtId="169" fontId="26" fillId="0" borderId="13" xfId="0" applyNumberFormat="1" applyFont="1" applyFill="1" applyBorder="1" applyAlignment="1">
      <alignment horizontal="center" vertical="center"/>
    </xf>
    <xf numFmtId="169" fontId="26" fillId="3" borderId="19" xfId="0" applyNumberFormat="1" applyFont="1" applyFill="1" applyBorder="1" applyAlignment="1">
      <alignment horizontal="center" vertical="center"/>
    </xf>
    <xf numFmtId="169" fontId="26" fillId="3" borderId="20" xfId="0" applyNumberFormat="1" applyFont="1" applyFill="1" applyBorder="1" applyAlignment="1">
      <alignment horizontal="center" vertical="center"/>
    </xf>
    <xf numFmtId="169" fontId="26" fillId="3" borderId="3" xfId="0" applyNumberFormat="1" applyFont="1" applyFill="1" applyBorder="1" applyAlignment="1">
      <alignment horizontal="center" vertical="center"/>
    </xf>
    <xf numFmtId="169" fontId="26" fillId="3" borderId="13" xfId="0" applyNumberFormat="1" applyFont="1" applyFill="1" applyBorder="1" applyAlignment="1">
      <alignment horizontal="center" vertical="center"/>
    </xf>
    <xf numFmtId="169" fontId="26" fillId="0" borderId="19" xfId="0" applyNumberFormat="1" applyFont="1" applyFill="1" applyBorder="1" applyAlignment="1">
      <alignment horizontal="center"/>
    </xf>
    <xf numFmtId="169" fontId="26" fillId="0" borderId="20" xfId="0" applyNumberFormat="1" applyFont="1" applyFill="1" applyBorder="1" applyAlignment="1">
      <alignment horizontal="center"/>
    </xf>
    <xf numFmtId="169" fontId="26" fillId="3" borderId="20" xfId="0" applyNumberFormat="1" applyFont="1" applyFill="1" applyBorder="1" applyAlignment="1">
      <alignment horizontal="center" vertical="center" wrapText="1"/>
    </xf>
    <xf numFmtId="169" fontId="26" fillId="3" borderId="13" xfId="0" applyNumberFormat="1" applyFont="1" applyFill="1" applyBorder="1" applyAlignment="1">
      <alignment horizontal="center" vertical="center" wrapText="1"/>
    </xf>
    <xf numFmtId="169" fontId="26" fillId="3" borderId="19" xfId="0" applyNumberFormat="1" applyFont="1" applyFill="1" applyBorder="1" applyAlignment="1">
      <alignment horizontal="center"/>
    </xf>
    <xf numFmtId="169" fontId="26" fillId="3" borderId="20" xfId="0" applyNumberFormat="1" applyFont="1" applyFill="1" applyBorder="1" applyAlignment="1">
      <alignment horizontal="center"/>
    </xf>
    <xf numFmtId="169" fontId="26" fillId="0" borderId="3" xfId="0" applyNumberFormat="1" applyFont="1" applyFill="1" applyBorder="1" applyAlignment="1">
      <alignment horizontal="center"/>
    </xf>
    <xf numFmtId="169" fontId="26" fillId="0" borderId="13" xfId="0" applyNumberFormat="1" applyFont="1" applyFill="1" applyBorder="1" applyAlignment="1">
      <alignment horizontal="center"/>
    </xf>
    <xf numFmtId="169" fontId="26" fillId="3" borderId="3" xfId="0" applyNumberFormat="1" applyFont="1" applyFill="1" applyBorder="1" applyAlignment="1">
      <alignment horizontal="center"/>
    </xf>
    <xf numFmtId="169" fontId="26" fillId="3" borderId="13" xfId="0" applyNumberFormat="1" applyFont="1" applyFill="1" applyBorder="1" applyAlignment="1">
      <alignment horizontal="center"/>
    </xf>
    <xf numFmtId="169" fontId="26" fillId="3" borderId="2" xfId="0" applyNumberFormat="1" applyFont="1" applyFill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 vertical="center" wrapText="1"/>
    </xf>
    <xf numFmtId="169" fontId="26" fillId="0" borderId="20" xfId="0" applyNumberFormat="1" applyFont="1" applyFill="1" applyBorder="1" applyAlignment="1">
      <alignment horizontal="center" vertical="center" wrapText="1"/>
    </xf>
    <xf numFmtId="169" fontId="26" fillId="0" borderId="13" xfId="0" applyNumberFormat="1" applyFont="1" applyFill="1" applyBorder="1" applyAlignment="1">
      <alignment horizontal="center" vertical="center" wrapText="1"/>
    </xf>
    <xf numFmtId="169" fontId="26" fillId="0" borderId="12" xfId="0" applyNumberFormat="1" applyFont="1" applyFill="1" applyBorder="1"/>
    <xf numFmtId="169" fontId="26" fillId="0" borderId="68" xfId="0" applyNumberFormat="1" applyFont="1" applyFill="1" applyBorder="1"/>
    <xf numFmtId="169" fontId="26" fillId="0" borderId="15" xfId="0" applyNumberFormat="1" applyFont="1" applyFill="1" applyBorder="1"/>
    <xf numFmtId="169" fontId="26" fillId="0" borderId="52" xfId="0" applyNumberFormat="1" applyFont="1" applyFill="1" applyBorder="1"/>
    <xf numFmtId="169" fontId="11" fillId="0" borderId="63" xfId="0" applyNumberFormat="1" applyFont="1" applyFill="1" applyBorder="1" applyAlignment="1">
      <alignment horizontal="center" vertical="center" wrapText="1"/>
    </xf>
    <xf numFmtId="169" fontId="11" fillId="0" borderId="58" xfId="0" applyNumberFormat="1" applyFont="1" applyFill="1" applyBorder="1" applyAlignment="1">
      <alignment horizontal="center" vertical="center" wrapText="1"/>
    </xf>
    <xf numFmtId="169" fontId="11" fillId="0" borderId="59" xfId="0" applyNumberFormat="1" applyFont="1" applyFill="1" applyBorder="1" applyAlignment="1">
      <alignment horizontal="center" vertical="center" wrapText="1"/>
    </xf>
    <xf numFmtId="0" fontId="0" fillId="0" borderId="31" xfId="0" applyFill="1" applyBorder="1" applyAlignment="1"/>
    <xf numFmtId="169" fontId="26" fillId="0" borderId="50" xfId="0" applyNumberFormat="1" applyFont="1" applyFill="1" applyBorder="1" applyAlignment="1">
      <alignment horizontal="center" vertical="center" wrapText="1"/>
    </xf>
    <xf numFmtId="169" fontId="26" fillId="0" borderId="6" xfId="0" applyNumberFormat="1" applyFont="1" applyFill="1" applyBorder="1" applyAlignment="1">
      <alignment horizontal="center" vertical="center" wrapText="1"/>
    </xf>
    <xf numFmtId="174" fontId="40" fillId="0" borderId="41" xfId="0" applyNumberFormat="1" applyFont="1" applyBorder="1" applyAlignment="1">
      <alignment horizontal="center" vertical="center"/>
    </xf>
    <xf numFmtId="174" fontId="40" fillId="0" borderId="55" xfId="0" applyNumberFormat="1" applyFont="1" applyBorder="1" applyAlignment="1">
      <alignment horizontal="center" vertical="center"/>
    </xf>
    <xf numFmtId="169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28" xfId="0" applyNumberFormat="1" applyFont="1" applyFill="1" applyBorder="1" applyAlignment="1">
      <alignment horizontal="center" vertical="center" wrapText="1"/>
    </xf>
    <xf numFmtId="165" fontId="26" fillId="0" borderId="7" xfId="0" applyNumberFormat="1" applyFont="1" applyFill="1" applyBorder="1" applyAlignment="1">
      <alignment horizontal="center" vertical="center" wrapText="1"/>
    </xf>
    <xf numFmtId="165" fontId="26" fillId="0" borderId="51" xfId="0" applyNumberFormat="1" applyFont="1" applyFill="1" applyBorder="1" applyAlignment="1">
      <alignment horizontal="center" vertical="center" wrapText="1"/>
    </xf>
    <xf numFmtId="165" fontId="26" fillId="0" borderId="19" xfId="0" applyNumberFormat="1" applyFont="1" applyFill="1" applyBorder="1" applyAlignment="1">
      <alignment horizontal="center" vertical="center" wrapText="1"/>
    </xf>
    <xf numFmtId="165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20" xfId="0" applyNumberFormat="1" applyFont="1" applyFill="1" applyBorder="1" applyAlignment="1">
      <alignment horizontal="center" vertical="center" wrapText="1"/>
    </xf>
    <xf numFmtId="1" fontId="26" fillId="0" borderId="19" xfId="0" applyNumberFormat="1" applyFont="1" applyFill="1" applyBorder="1" applyAlignment="1">
      <alignment horizontal="center" vertical="center" wrapText="1"/>
    </xf>
    <xf numFmtId="1" fontId="26" fillId="0" borderId="45" xfId="0" applyNumberFormat="1" applyFont="1" applyFill="1" applyBorder="1" applyAlignment="1">
      <alignment horizontal="center" vertical="center" wrapText="1"/>
    </xf>
    <xf numFmtId="1" fontId="26" fillId="0" borderId="21" xfId="0" applyNumberFormat="1" applyFont="1" applyFill="1" applyBorder="1" applyAlignment="1">
      <alignment horizontal="center" vertical="center" wrapText="1"/>
    </xf>
    <xf numFmtId="1" fontId="26" fillId="0" borderId="13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/>
    </xf>
    <xf numFmtId="1" fontId="6" fillId="0" borderId="43" xfId="0" applyNumberFormat="1" applyFont="1" applyFill="1" applyBorder="1" applyAlignment="1">
      <alignment horizontal="left" vertical="center" wrapText="1"/>
    </xf>
    <xf numFmtId="169" fontId="26" fillId="0" borderId="1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4" fontId="26" fillId="0" borderId="12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4" fontId="26" fillId="0" borderId="78" xfId="0" applyNumberFormat="1" applyFont="1" applyFill="1" applyBorder="1" applyAlignment="1">
      <alignment horizontal="center" vertical="center" wrapText="1"/>
    </xf>
    <xf numFmtId="0" fontId="54" fillId="0" borderId="30" xfId="0" applyFont="1" applyFill="1" applyBorder="1" applyAlignment="1"/>
    <xf numFmtId="1" fontId="78" fillId="0" borderId="51" xfId="0" applyNumberFormat="1" applyFont="1" applyFill="1" applyBorder="1" applyAlignment="1">
      <alignment horizontal="center" vertical="center" wrapText="1"/>
    </xf>
    <xf numFmtId="169" fontId="78" fillId="0" borderId="3" xfId="0" applyNumberFormat="1" applyFont="1" applyFill="1" applyBorder="1" applyAlignment="1">
      <alignment horizontal="center" vertical="center" wrapText="1"/>
    </xf>
    <xf numFmtId="1" fontId="78" fillId="0" borderId="1" xfId="0" applyNumberFormat="1" applyFont="1" applyFill="1" applyBorder="1"/>
    <xf numFmtId="1" fontId="78" fillId="0" borderId="1" xfId="0" applyNumberFormat="1" applyFont="1" applyFill="1" applyBorder="1" applyAlignment="1">
      <alignment horizontal="center" vertical="center"/>
    </xf>
    <xf numFmtId="2" fontId="78" fillId="0" borderId="1" xfId="0" applyNumberFormat="1" applyFont="1" applyFill="1" applyBorder="1"/>
    <xf numFmtId="1" fontId="78" fillId="0" borderId="4" xfId="0" applyNumberFormat="1" applyFont="1" applyFill="1" applyBorder="1"/>
    <xf numFmtId="1" fontId="78" fillId="0" borderId="2" xfId="0" applyNumberFormat="1" applyFont="1" applyFill="1" applyBorder="1"/>
    <xf numFmtId="1" fontId="78" fillId="0" borderId="7" xfId="0" applyNumberFormat="1" applyFont="1" applyFill="1" applyBorder="1"/>
    <xf numFmtId="1" fontId="63" fillId="0" borderId="7" xfId="0" applyNumberFormat="1" applyFont="1" applyFill="1" applyBorder="1"/>
    <xf numFmtId="167" fontId="63" fillId="0" borderId="0" xfId="0" applyNumberFormat="1" applyFont="1" applyFill="1"/>
    <xf numFmtId="4" fontId="63" fillId="0" borderId="0" xfId="0" applyNumberFormat="1" applyFont="1" applyFill="1"/>
    <xf numFmtId="1" fontId="26" fillId="0" borderId="42" xfId="0" applyNumberFormat="1" applyFont="1" applyFill="1" applyBorder="1" applyAlignment="1">
      <alignment horizontal="center" vertical="center" wrapText="1"/>
    </xf>
    <xf numFmtId="1" fontId="26" fillId="0" borderId="36" xfId="0" applyNumberFormat="1" applyFont="1" applyFill="1" applyBorder="1" applyAlignment="1">
      <alignment horizontal="center" vertical="center" wrapText="1"/>
    </xf>
    <xf numFmtId="1" fontId="26" fillId="3" borderId="36" xfId="0" applyNumberFormat="1" applyFont="1" applyFill="1" applyBorder="1" applyAlignment="1">
      <alignment horizontal="center" vertical="center" wrapText="1"/>
    </xf>
    <xf numFmtId="1" fontId="26" fillId="0" borderId="43" xfId="0" applyNumberFormat="1" applyFont="1" applyFill="1" applyBorder="1" applyAlignment="1">
      <alignment horizontal="center" vertical="center" wrapText="1"/>
    </xf>
    <xf numFmtId="1" fontId="26" fillId="0" borderId="3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" fillId="0" borderId="43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3" fontId="11" fillId="0" borderId="0" xfId="1" applyNumberFormat="1" applyFont="1" applyFill="1" applyBorder="1"/>
    <xf numFmtId="4" fontId="11" fillId="0" borderId="23" xfId="0" applyNumberFormat="1" applyFont="1" applyFill="1" applyBorder="1" applyAlignment="1">
      <alignment horizontal="center" vertical="center" wrapText="1"/>
    </xf>
    <xf numFmtId="4" fontId="11" fillId="0" borderId="55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169" fontId="30" fillId="0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3" fontId="23" fillId="0" borderId="43" xfId="0" applyNumberFormat="1" applyFont="1" applyBorder="1" applyAlignment="1">
      <alignment horizontal="center" vertical="center"/>
    </xf>
    <xf numFmtId="3" fontId="23" fillId="0" borderId="44" xfId="0" applyNumberFormat="1" applyFont="1" applyFill="1" applyBorder="1" applyAlignment="1">
      <alignment horizontal="center" vertical="center"/>
    </xf>
    <xf numFmtId="14" fontId="23" fillId="0" borderId="43" xfId="0" applyNumberFormat="1" applyFont="1" applyFill="1" applyBorder="1" applyAlignment="1">
      <alignment horizontal="center" vertical="center"/>
    </xf>
    <xf numFmtId="14" fontId="23" fillId="0" borderId="36" xfId="0" applyNumberFormat="1" applyFont="1" applyFill="1" applyBorder="1" applyAlignment="1">
      <alignment horizontal="center" vertical="center"/>
    </xf>
    <xf numFmtId="14" fontId="23" fillId="0" borderId="48" xfId="0" applyNumberFormat="1" applyFont="1" applyFill="1" applyBorder="1" applyAlignment="1">
      <alignment horizontal="center" vertical="center"/>
    </xf>
    <xf numFmtId="14" fontId="23" fillId="0" borderId="42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174" fontId="6" fillId="0" borderId="2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2" fontId="6" fillId="3" borderId="23" xfId="0" applyNumberFormat="1" applyFont="1" applyFill="1" applyBorder="1" applyAlignment="1">
      <alignment horizontal="center" vertical="center"/>
    </xf>
    <xf numFmtId="174" fontId="67" fillId="3" borderId="23" xfId="0" applyNumberFormat="1" applyFont="1" applyFill="1" applyBorder="1" applyAlignment="1">
      <alignment horizontal="center" vertical="center"/>
    </xf>
    <xf numFmtId="174" fontId="67" fillId="3" borderId="26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174" fontId="67" fillId="3" borderId="8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166" fontId="6" fillId="0" borderId="8" xfId="0" applyNumberFormat="1" applyFont="1" applyFill="1" applyBorder="1" applyAlignment="1">
      <alignment horizontal="center" vertical="center"/>
    </xf>
    <xf numFmtId="174" fontId="67" fillId="0" borderId="17" xfId="0" applyNumberFormat="1" applyFont="1" applyFill="1" applyBorder="1" applyAlignment="1">
      <alignment horizontal="center" vertical="center"/>
    </xf>
    <xf numFmtId="174" fontId="67" fillId="0" borderId="18" xfId="0" applyNumberFormat="1" applyFont="1" applyFill="1" applyBorder="1" applyAlignment="1">
      <alignment horizontal="center" vertical="center"/>
    </xf>
    <xf numFmtId="17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4" fontId="6" fillId="0" borderId="1" xfId="0" applyNumberFormat="1" applyFont="1" applyFill="1" applyBorder="1" applyAlignment="1">
      <alignment horizontal="center" vertical="center"/>
    </xf>
    <xf numFmtId="4" fontId="68" fillId="0" borderId="0" xfId="0" applyNumberFormat="1" applyFont="1" applyFill="1" applyBorder="1" applyAlignment="1">
      <alignment horizontal="right"/>
    </xf>
    <xf numFmtId="0" fontId="68" fillId="0" borderId="0" xfId="0" applyFont="1" applyFill="1"/>
    <xf numFmtId="49" fontId="6" fillId="3" borderId="23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4" fontId="68" fillId="0" borderId="0" xfId="0" applyNumberFormat="1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 vertical="center"/>
    </xf>
    <xf numFmtId="174" fontId="6" fillId="3" borderId="28" xfId="0" applyNumberFormat="1" applyFont="1" applyFill="1" applyBorder="1" applyAlignment="1">
      <alignment horizontal="center" vertical="center"/>
    </xf>
    <xf numFmtId="174" fontId="67" fillId="3" borderId="39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1" fontId="26" fillId="0" borderId="43" xfId="0" applyNumberFormat="1" applyFont="1" applyFill="1" applyBorder="1" applyAlignment="1">
      <alignment horizontal="left" vertical="top" wrapText="1"/>
    </xf>
    <xf numFmtId="169" fontId="26" fillId="0" borderId="2" xfId="0" applyNumberFormat="1" applyFont="1" applyFill="1" applyBorder="1" applyAlignment="1">
      <alignment horizontal="center"/>
    </xf>
    <xf numFmtId="3" fontId="28" fillId="0" borderId="12" xfId="0" applyNumberFormat="1" applyFont="1" applyFill="1" applyBorder="1" applyAlignment="1">
      <alignment horizontal="center" vertical="center" wrapText="1"/>
    </xf>
    <xf numFmtId="4" fontId="68" fillId="0" borderId="30" xfId="0" applyNumberFormat="1" applyFont="1" applyFill="1" applyBorder="1" applyAlignment="1"/>
    <xf numFmtId="168" fontId="11" fillId="0" borderId="26" xfId="0" applyNumberFormat="1" applyFont="1" applyFill="1" applyBorder="1" applyAlignment="1">
      <alignment horizontal="center" vertical="center" wrapText="1"/>
    </xf>
    <xf numFmtId="1" fontId="26" fillId="0" borderId="26" xfId="0" applyNumberFormat="1" applyFont="1" applyFill="1" applyBorder="1" applyAlignment="1">
      <alignment horizontal="center" vertical="center"/>
    </xf>
    <xf numFmtId="1" fontId="26" fillId="0" borderId="4" xfId="0" applyNumberFormat="1" applyFont="1" applyFill="1" applyBorder="1" applyAlignment="1">
      <alignment horizontal="center" vertical="center"/>
    </xf>
    <xf numFmtId="1" fontId="30" fillId="0" borderId="4" xfId="0" applyNumberFormat="1" applyFont="1" applyFill="1" applyBorder="1" applyAlignment="1">
      <alignment horizontal="center" vertical="center"/>
    </xf>
    <xf numFmtId="1" fontId="26" fillId="3" borderId="4" xfId="0" applyNumberFormat="1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center"/>
    </xf>
    <xf numFmtId="1" fontId="26" fillId="0" borderId="18" xfId="0" applyNumberFormat="1" applyFont="1" applyFill="1" applyBorder="1" applyAlignment="1">
      <alignment horizontal="center" vertical="center"/>
    </xf>
    <xf numFmtId="169" fontId="30" fillId="0" borderId="50" xfId="0" applyNumberFormat="1" applyFont="1" applyFill="1" applyBorder="1" applyAlignment="1">
      <alignment horizontal="center" vertical="center"/>
    </xf>
    <xf numFmtId="49" fontId="23" fillId="0" borderId="50" xfId="0" applyNumberFormat="1" applyFont="1" applyFill="1" applyBorder="1" applyAlignment="1">
      <alignment horizontal="left" vertical="top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3" fontId="86" fillId="0" borderId="0" xfId="0" applyNumberFormat="1" applyFont="1" applyFill="1"/>
    <xf numFmtId="0" fontId="87" fillId="0" borderId="0" xfId="0" applyFont="1" applyFill="1"/>
    <xf numFmtId="49" fontId="88" fillId="0" borderId="43" xfId="0" applyNumberFormat="1" applyFont="1" applyFill="1" applyBorder="1" applyAlignment="1">
      <alignment horizontal="right" vertical="center" wrapText="1"/>
    </xf>
    <xf numFmtId="3" fontId="89" fillId="0" borderId="19" xfId="1" applyNumberFormat="1" applyFont="1" applyFill="1" applyBorder="1" applyAlignment="1">
      <alignment vertical="center"/>
    </xf>
    <xf numFmtId="3" fontId="89" fillId="0" borderId="3" xfId="1" applyNumberFormat="1" applyFont="1" applyFill="1" applyBorder="1" applyAlignment="1">
      <alignment vertical="center"/>
    </xf>
    <xf numFmtId="3" fontId="90" fillId="0" borderId="13" xfId="1" applyNumberFormat="1" applyFont="1" applyFill="1" applyBorder="1" applyAlignment="1">
      <alignment vertical="center"/>
    </xf>
    <xf numFmtId="3" fontId="91" fillId="0" borderId="0" xfId="0" applyNumberFormat="1" applyFont="1" applyFill="1"/>
    <xf numFmtId="49" fontId="84" fillId="0" borderId="43" xfId="0" applyNumberFormat="1" applyFont="1" applyFill="1" applyBorder="1" applyAlignment="1">
      <alignment horizontal="left" vertical="center" wrapText="1"/>
    </xf>
    <xf numFmtId="3" fontId="35" fillId="0" borderId="19" xfId="1" applyNumberFormat="1" applyFont="1" applyFill="1" applyBorder="1" applyAlignment="1">
      <alignment vertical="center"/>
    </xf>
    <xf numFmtId="3" fontId="35" fillId="0" borderId="3" xfId="1" applyNumberFormat="1" applyFont="1" applyFill="1" applyBorder="1" applyAlignment="1">
      <alignment vertical="center"/>
    </xf>
    <xf numFmtId="3" fontId="85" fillId="0" borderId="13" xfId="1" applyNumberFormat="1" applyFont="1" applyFill="1" applyBorder="1" applyAlignment="1">
      <alignment vertical="center"/>
    </xf>
    <xf numFmtId="169" fontId="36" fillId="0" borderId="1" xfId="0" applyNumberFormat="1" applyFont="1" applyBorder="1" applyAlignment="1">
      <alignment horizontal="center" vertical="center"/>
    </xf>
    <xf numFmtId="0" fontId="36" fillId="0" borderId="3" xfId="0" applyNumberFormat="1" applyFont="1" applyBorder="1" applyAlignment="1">
      <alignment horizontal="justify" vertical="center" wrapText="1"/>
    </xf>
    <xf numFmtId="169" fontId="36" fillId="0" borderId="3" xfId="0" applyNumberFormat="1" applyFont="1" applyBorder="1" applyAlignment="1">
      <alignment horizontal="center" vertical="center" wrapText="1"/>
    </xf>
    <xf numFmtId="3" fontId="36" fillId="0" borderId="3" xfId="0" applyNumberFormat="1" applyFont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169" fontId="36" fillId="0" borderId="1" xfId="0" applyNumberFormat="1" applyFont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justify" vertical="center" wrapText="1"/>
    </xf>
    <xf numFmtId="169" fontId="36" fillId="0" borderId="1" xfId="0" applyNumberFormat="1" applyFont="1" applyBorder="1" applyAlignment="1">
      <alignment horizontal="justify" vertical="center"/>
    </xf>
    <xf numFmtId="169" fontId="36" fillId="0" borderId="1" xfId="0" applyNumberFormat="1" applyFont="1" applyFill="1" applyBorder="1" applyAlignment="1">
      <alignment horizontal="center" vertical="center" wrapText="1"/>
    </xf>
    <xf numFmtId="14" fontId="83" fillId="0" borderId="48" xfId="0" applyNumberFormat="1" applyFont="1" applyFill="1" applyBorder="1" applyAlignment="1">
      <alignment horizontal="center" vertical="center"/>
    </xf>
    <xf numFmtId="14" fontId="83" fillId="0" borderId="42" xfId="0" applyNumberFormat="1" applyFont="1" applyFill="1" applyBorder="1" applyAlignment="1">
      <alignment horizontal="center" vertical="center"/>
    </xf>
    <xf numFmtId="0" fontId="23" fillId="0" borderId="51" xfId="0" applyNumberFormat="1" applyFont="1" applyFill="1" applyBorder="1" applyAlignment="1">
      <alignment horizontal="justify" vertical="center" wrapText="1"/>
    </xf>
    <xf numFmtId="0" fontId="23" fillId="0" borderId="56" xfId="0" applyNumberFormat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3" fontId="26" fillId="3" borderId="13" xfId="3" applyNumberFormat="1" applyFont="1" applyFill="1" applyBorder="1" applyAlignment="1">
      <alignment horizontal="center" vertical="center" wrapText="1"/>
    </xf>
    <xf numFmtId="3" fontId="26" fillId="3" borderId="0" xfId="0" applyNumberFormat="1" applyFont="1" applyFill="1" applyBorder="1" applyAlignment="1">
      <alignment horizontal="center" vertical="center"/>
    </xf>
    <xf numFmtId="3" fontId="26" fillId="3" borderId="12" xfId="0" applyNumberFormat="1" applyFont="1" applyFill="1" applyBorder="1" applyAlignment="1">
      <alignment horizontal="center" vertical="center" wrapText="1"/>
    </xf>
    <xf numFmtId="3" fontId="26" fillId="3" borderId="78" xfId="3" applyNumberFormat="1" applyFont="1" applyFill="1" applyBorder="1" applyAlignment="1">
      <alignment horizontal="center" vertical="center" wrapText="1"/>
    </xf>
    <xf numFmtId="3" fontId="26" fillId="3" borderId="78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/>
    </xf>
    <xf numFmtId="167" fontId="35" fillId="0" borderId="0" xfId="0" applyNumberFormat="1" applyFont="1" applyFill="1" applyBorder="1" applyAlignment="1"/>
    <xf numFmtId="167" fontId="35" fillId="0" borderId="0" xfId="0" applyNumberFormat="1" applyFont="1" applyFill="1" applyBorder="1" applyAlignment="1">
      <alignment horizontal="center" vertical="center"/>
    </xf>
    <xf numFmtId="167" fontId="11" fillId="0" borderId="0" xfId="0" applyNumberFormat="1" applyFont="1" applyFill="1" applyBorder="1" applyAlignment="1"/>
    <xf numFmtId="169" fontId="36" fillId="0" borderId="0" xfId="0" applyNumberFormat="1" applyFont="1" applyAlignment="1">
      <alignment vertical="center"/>
    </xf>
    <xf numFmtId="3" fontId="28" fillId="0" borderId="52" xfId="3" applyNumberFormat="1" applyFont="1" applyFill="1" applyBorder="1" applyAlignment="1">
      <alignment horizontal="center" vertical="center" wrapText="1"/>
    </xf>
    <xf numFmtId="169" fontId="40" fillId="0" borderId="1" xfId="0" applyNumberFormat="1" applyFont="1" applyBorder="1" applyAlignment="1">
      <alignment horizontal="center" vertical="center" wrapText="1"/>
    </xf>
    <xf numFmtId="169" fontId="36" fillId="0" borderId="3" xfId="0" applyNumberFormat="1" applyFont="1" applyFill="1" applyBorder="1" applyAlignment="1">
      <alignment horizontal="center" vertical="center" wrapText="1"/>
    </xf>
    <xf numFmtId="169" fontId="40" fillId="0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3" fontId="25" fillId="0" borderId="63" xfId="0" applyNumberFormat="1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center" vertical="center"/>
    </xf>
    <xf numFmtId="3" fontId="23" fillId="0" borderId="6" xfId="0" applyNumberFormat="1" applyFont="1" applyFill="1" applyBorder="1" applyAlignment="1">
      <alignment horizontal="center" vertical="center"/>
    </xf>
    <xf numFmtId="3" fontId="23" fillId="0" borderId="20" xfId="0" applyNumberFormat="1" applyFont="1" applyFill="1" applyBorder="1" applyAlignment="1">
      <alignment horizontal="center" vertical="center"/>
    </xf>
    <xf numFmtId="3" fontId="23" fillId="0" borderId="20" xfId="0" applyNumberFormat="1" applyFont="1" applyBorder="1" applyAlignment="1">
      <alignment horizontal="center" vertical="center"/>
    </xf>
    <xf numFmtId="3" fontId="23" fillId="0" borderId="10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horizontal="center"/>
    </xf>
    <xf numFmtId="4" fontId="3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right" vertical="center"/>
    </xf>
    <xf numFmtId="3" fontId="23" fillId="0" borderId="21" xfId="0" applyNumberFormat="1" applyFont="1" applyBorder="1" applyAlignment="1">
      <alignment horizontal="center" vertical="center"/>
    </xf>
    <xf numFmtId="3" fontId="23" fillId="0" borderId="79" xfId="0" applyNumberFormat="1" applyFont="1" applyFill="1" applyBorder="1" applyAlignment="1">
      <alignment horizontal="center" vertical="center"/>
    </xf>
    <xf numFmtId="3" fontId="25" fillId="0" borderId="61" xfId="0" applyNumberFormat="1" applyFont="1" applyFill="1" applyBorder="1" applyAlignment="1">
      <alignment horizontal="center" vertical="center"/>
    </xf>
    <xf numFmtId="3" fontId="25" fillId="0" borderId="24" xfId="0" applyNumberFormat="1" applyFont="1" applyFill="1" applyBorder="1" applyAlignment="1">
      <alignment horizontal="center" vertical="center"/>
    </xf>
    <xf numFmtId="3" fontId="23" fillId="0" borderId="5" xfId="0" applyNumberFormat="1" applyFont="1" applyFill="1" applyBorder="1" applyAlignment="1">
      <alignment horizontal="center" vertical="center"/>
    </xf>
    <xf numFmtId="3" fontId="23" fillId="0" borderId="21" xfId="0" applyNumberFormat="1" applyFont="1" applyFill="1" applyBorder="1" applyAlignment="1">
      <alignment horizontal="center" vertical="center"/>
    </xf>
    <xf numFmtId="3" fontId="25" fillId="0" borderId="64" xfId="0" applyNumberFormat="1" applyFont="1" applyFill="1" applyBorder="1" applyAlignment="1">
      <alignment horizontal="center" vertical="center"/>
    </xf>
    <xf numFmtId="3" fontId="25" fillId="0" borderId="49" xfId="0" applyNumberFormat="1" applyFont="1" applyFill="1" applyBorder="1" applyAlignment="1">
      <alignment horizontal="center" vertical="center"/>
    </xf>
    <xf numFmtId="3" fontId="23" fillId="0" borderId="31" xfId="0" applyNumberFormat="1" applyFont="1" applyFill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center"/>
    </xf>
    <xf numFmtId="3" fontId="23" fillId="0" borderId="75" xfId="0" applyNumberFormat="1" applyFont="1" applyFill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56" xfId="0" applyNumberFormat="1" applyFont="1" applyFill="1" applyBorder="1" applyAlignment="1">
      <alignment horizontal="left" vertical="center" wrapText="1"/>
    </xf>
    <xf numFmtId="3" fontId="23" fillId="0" borderId="52" xfId="0" applyNumberFormat="1" applyFont="1" applyFill="1" applyBorder="1" applyAlignment="1">
      <alignment horizontal="center" vertical="center"/>
    </xf>
    <xf numFmtId="0" fontId="23" fillId="0" borderId="4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wrapText="1"/>
    </xf>
    <xf numFmtId="175" fontId="42" fillId="0" borderId="65" xfId="0" applyNumberFormat="1" applyFont="1" applyBorder="1" applyAlignment="1">
      <alignment vertical="center"/>
    </xf>
    <xf numFmtId="175" fontId="92" fillId="0" borderId="27" xfId="0" applyNumberFormat="1" applyFont="1" applyBorder="1"/>
    <xf numFmtId="175" fontId="92" fillId="0" borderId="45" xfId="0" applyNumberFormat="1" applyFont="1" applyBorder="1"/>
    <xf numFmtId="175" fontId="92" fillId="0" borderId="76" xfId="0" applyNumberFormat="1" applyFont="1" applyBorder="1"/>
    <xf numFmtId="175" fontId="43" fillId="0" borderId="65" xfId="0" applyNumberFormat="1" applyFont="1" applyBorder="1" applyAlignment="1">
      <alignment vertical="center"/>
    </xf>
    <xf numFmtId="4" fontId="3" fillId="0" borderId="0" xfId="0" applyNumberFormat="1" applyFont="1" applyFill="1"/>
    <xf numFmtId="4" fontId="93" fillId="0" borderId="0" xfId="0" applyNumberFormat="1" applyFont="1" applyFill="1"/>
    <xf numFmtId="3" fontId="23" fillId="0" borderId="1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49" fontId="23" fillId="0" borderId="50" xfId="0" applyNumberFormat="1" applyFont="1" applyFill="1" applyBorder="1" applyAlignment="1">
      <alignment horizontal="left" vertical="center" wrapText="1"/>
    </xf>
    <xf numFmtId="169" fontId="36" fillId="3" borderId="1" xfId="0" applyNumberFormat="1" applyFont="1" applyFill="1" applyBorder="1" applyAlignment="1">
      <alignment horizontal="center" vertical="center" wrapText="1"/>
    </xf>
    <xf numFmtId="169" fontId="36" fillId="3" borderId="1" xfId="0" applyNumberFormat="1" applyFont="1" applyFill="1" applyBorder="1" applyAlignment="1">
      <alignment horizontal="center" vertical="center"/>
    </xf>
    <xf numFmtId="168" fontId="11" fillId="0" borderId="24" xfId="0" applyNumberFormat="1" applyFont="1" applyFill="1" applyBorder="1" applyAlignment="1">
      <alignment horizontal="center" vertical="center" wrapText="1"/>
    </xf>
    <xf numFmtId="168" fontId="11" fillId="0" borderId="23" xfId="0" applyNumberFormat="1" applyFont="1" applyFill="1" applyBorder="1" applyAlignment="1">
      <alignment horizontal="center" vertical="center" wrapText="1"/>
    </xf>
    <xf numFmtId="2" fontId="26" fillId="0" borderId="19" xfId="0" applyNumberFormat="1" applyFont="1" applyFill="1" applyBorder="1" applyAlignment="1">
      <alignment horizontal="center" vertical="center" wrapText="1"/>
    </xf>
    <xf numFmtId="3" fontId="25" fillId="0" borderId="64" xfId="0" applyNumberFormat="1" applyFont="1" applyFill="1" applyBorder="1" applyAlignment="1">
      <alignment horizontal="center" vertical="center"/>
    </xf>
    <xf numFmtId="3" fontId="25" fillId="0" borderId="61" xfId="0" applyNumberFormat="1" applyFont="1" applyFill="1" applyBorder="1" applyAlignment="1">
      <alignment horizontal="center" vertical="center"/>
    </xf>
    <xf numFmtId="0" fontId="23" fillId="0" borderId="56" xfId="0" applyNumberFormat="1" applyFont="1" applyFill="1" applyBorder="1" applyAlignment="1">
      <alignment horizontal="left" vertical="center" wrapText="1"/>
    </xf>
    <xf numFmtId="3" fontId="25" fillId="0" borderId="23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49" fontId="94" fillId="0" borderId="41" xfId="0" applyNumberFormat="1" applyFont="1" applyFill="1" applyBorder="1" applyAlignment="1">
      <alignment horizontal="right" vertical="top" wrapText="1"/>
    </xf>
    <xf numFmtId="3" fontId="23" fillId="0" borderId="46" xfId="0" applyNumberFormat="1" applyFont="1" applyBorder="1" applyAlignment="1">
      <alignment horizontal="center" vertical="center"/>
    </xf>
    <xf numFmtId="3" fontId="23" fillId="0" borderId="80" xfId="0" applyNumberFormat="1" applyFont="1" applyBorder="1" applyAlignment="1">
      <alignment horizontal="center" vertical="center"/>
    </xf>
    <xf numFmtId="3" fontId="23" fillId="0" borderId="52" xfId="0" applyNumberFormat="1" applyFont="1" applyBorder="1" applyAlignment="1">
      <alignment horizontal="center" vertical="center"/>
    </xf>
    <xf numFmtId="3" fontId="23" fillId="0" borderId="67" xfId="0" applyNumberFormat="1" applyFont="1" applyBorder="1" applyAlignment="1">
      <alignment horizontal="center" vertical="center"/>
    </xf>
    <xf numFmtId="3" fontId="23" fillId="0" borderId="68" xfId="0" applyNumberFormat="1" applyFont="1" applyBorder="1" applyAlignment="1">
      <alignment horizontal="center" vertical="center"/>
    </xf>
    <xf numFmtId="0" fontId="60" fillId="0" borderId="57" xfId="0" applyFont="1" applyBorder="1" applyAlignment="1">
      <alignment horizontal="center" vertical="center"/>
    </xf>
    <xf numFmtId="0" fontId="6" fillId="0" borderId="58" xfId="0" applyFont="1" applyFill="1" applyBorder="1" applyAlignment="1">
      <alignment horizontal="center"/>
    </xf>
    <xf numFmtId="169" fontId="6" fillId="0" borderId="58" xfId="0" applyNumberFormat="1" applyFont="1" applyFill="1" applyBorder="1" applyAlignment="1">
      <alignment horizontal="center"/>
    </xf>
    <xf numFmtId="0" fontId="10" fillId="0" borderId="0" xfId="0" applyFont="1" applyBorder="1"/>
    <xf numFmtId="0" fontId="60" fillId="0" borderId="0" xfId="0" applyFont="1" applyBorder="1" applyAlignment="1">
      <alignment horizontal="left" vertical="center" wrapText="1"/>
    </xf>
    <xf numFmtId="3" fontId="94" fillId="0" borderId="28" xfId="0" applyNumberFormat="1" applyFont="1" applyFill="1" applyBorder="1" applyAlignment="1">
      <alignment horizontal="right" vertical="center"/>
    </xf>
    <xf numFmtId="3" fontId="94" fillId="0" borderId="39" xfId="0" applyNumberFormat="1" applyFont="1" applyFill="1" applyBorder="1" applyAlignment="1">
      <alignment horizontal="right" vertical="center"/>
    </xf>
    <xf numFmtId="1" fontId="32" fillId="0" borderId="36" xfId="0" applyNumberFormat="1" applyFont="1" applyFill="1" applyBorder="1" applyAlignment="1">
      <alignment horizontal="right" vertical="center" wrapText="1"/>
    </xf>
    <xf numFmtId="0" fontId="23" fillId="0" borderId="51" xfId="0" applyFont="1" applyBorder="1" applyAlignment="1">
      <alignment horizontal="right" vertical="center"/>
    </xf>
    <xf numFmtId="0" fontId="23" fillId="0" borderId="41" xfId="0" applyFont="1" applyBorder="1" applyAlignment="1">
      <alignment horizontal="right" vertical="center"/>
    </xf>
    <xf numFmtId="0" fontId="54" fillId="0" borderId="0" xfId="0" applyFont="1"/>
    <xf numFmtId="0" fontId="95" fillId="0" borderId="40" xfId="0" applyFont="1" applyBorder="1" applyAlignment="1">
      <alignment horizontal="left" vertical="center"/>
    </xf>
    <xf numFmtId="3" fontId="95" fillId="0" borderId="32" xfId="0" applyNumberFormat="1" applyFont="1" applyFill="1" applyBorder="1" applyAlignment="1">
      <alignment horizontal="center" vertical="center"/>
    </xf>
    <xf numFmtId="3" fontId="95" fillId="0" borderId="38" xfId="0" applyNumberFormat="1" applyFont="1" applyFill="1" applyBorder="1" applyAlignment="1">
      <alignment horizontal="center" vertical="center"/>
    </xf>
    <xf numFmtId="0" fontId="54" fillId="0" borderId="0" xfId="0" applyNumberFormat="1" applyFont="1" applyFill="1" applyAlignment="1">
      <alignment horizontal="center" vertical="center" wrapText="1"/>
    </xf>
    <xf numFmtId="14" fontId="79" fillId="0" borderId="34" xfId="0" applyNumberFormat="1" applyFont="1" applyFill="1" applyBorder="1" applyAlignment="1">
      <alignment horizontal="center" vertical="center"/>
    </xf>
    <xf numFmtId="3" fontId="95" fillId="0" borderId="72" xfId="0" applyNumberFormat="1" applyFont="1" applyFill="1" applyBorder="1" applyAlignment="1">
      <alignment horizontal="center" vertical="center"/>
    </xf>
    <xf numFmtId="3" fontId="95" fillId="0" borderId="37" xfId="0" applyNumberFormat="1" applyFont="1" applyFill="1" applyBorder="1" applyAlignment="1">
      <alignment horizontal="center" vertical="center"/>
    </xf>
    <xf numFmtId="3" fontId="95" fillId="0" borderId="73" xfId="0" applyNumberFormat="1" applyFont="1" applyFill="1" applyBorder="1" applyAlignment="1">
      <alignment horizontal="center" vertical="center"/>
    </xf>
    <xf numFmtId="4" fontId="54" fillId="0" borderId="0" xfId="0" applyNumberFormat="1" applyFont="1" applyAlignment="1">
      <alignment horizontal="center" vertical="center"/>
    </xf>
    <xf numFmtId="0" fontId="54" fillId="0" borderId="54" xfId="0" applyFont="1" applyBorder="1"/>
    <xf numFmtId="0" fontId="54" fillId="0" borderId="17" xfId="0" applyFont="1" applyBorder="1"/>
    <xf numFmtId="0" fontId="54" fillId="0" borderId="18" xfId="0" applyFont="1" applyBorder="1"/>
    <xf numFmtId="0" fontId="54" fillId="0" borderId="35" xfId="0" applyFont="1" applyBorder="1"/>
    <xf numFmtId="0" fontId="54" fillId="0" borderId="30" xfId="0" applyFont="1" applyBorder="1"/>
    <xf numFmtId="0" fontId="54" fillId="0" borderId="0" xfId="0" applyFont="1" applyBorder="1"/>
    <xf numFmtId="0" fontId="54" fillId="0" borderId="53" xfId="0" applyFont="1" applyBorder="1"/>
    <xf numFmtId="4" fontId="54" fillId="0" borderId="0" xfId="0" applyNumberFormat="1" applyFont="1"/>
    <xf numFmtId="0" fontId="54" fillId="0" borderId="0" xfId="0" applyFont="1" applyFill="1" applyAlignment="1">
      <alignment horizontal="center" vertical="center"/>
    </xf>
    <xf numFmtId="0" fontId="54" fillId="0" borderId="57" xfId="0" applyNumberFormat="1" applyFont="1" applyFill="1" applyBorder="1" applyAlignment="1">
      <alignment horizontal="left" vertical="center" wrapText="1"/>
    </xf>
    <xf numFmtId="3" fontId="54" fillId="0" borderId="58" xfId="0" applyNumberFormat="1" applyFont="1" applyFill="1" applyBorder="1" applyAlignment="1">
      <alignment horizontal="center" vertical="center"/>
    </xf>
    <xf numFmtId="3" fontId="54" fillId="0" borderId="59" xfId="0" applyNumberFormat="1" applyFont="1" applyFill="1" applyBorder="1" applyAlignment="1">
      <alignment horizontal="center" vertical="center"/>
    </xf>
    <xf numFmtId="0" fontId="54" fillId="0" borderId="0" xfId="0" applyFont="1" applyFill="1"/>
    <xf numFmtId="14" fontId="79" fillId="0" borderId="36" xfId="0" applyNumberFormat="1" applyFont="1" applyFill="1" applyBorder="1" applyAlignment="1">
      <alignment horizontal="center" vertical="center"/>
    </xf>
    <xf numFmtId="3" fontId="54" fillId="0" borderId="31" xfId="0" applyNumberFormat="1" applyFont="1" applyFill="1" applyBorder="1" applyAlignment="1">
      <alignment horizontal="center" vertical="center"/>
    </xf>
    <xf numFmtId="3" fontId="54" fillId="0" borderId="4" xfId="0" applyNumberFormat="1" applyFont="1" applyFill="1" applyBorder="1" applyAlignment="1">
      <alignment horizontal="center" vertical="center"/>
    </xf>
    <xf numFmtId="3" fontId="54" fillId="0" borderId="5" xfId="0" applyNumberFormat="1" applyFont="1" applyFill="1" applyBorder="1" applyAlignment="1">
      <alignment horizontal="center" vertical="center"/>
    </xf>
    <xf numFmtId="3" fontId="54" fillId="0" borderId="6" xfId="0" applyNumberFormat="1" applyFont="1" applyFill="1" applyBorder="1" applyAlignment="1">
      <alignment horizontal="center" vertical="center"/>
    </xf>
    <xf numFmtId="4" fontId="54" fillId="0" borderId="0" xfId="0" applyNumberFormat="1" applyFont="1" applyFill="1"/>
    <xf numFmtId="3" fontId="10" fillId="0" borderId="22" xfId="0" applyNumberFormat="1" applyFont="1" applyFill="1" applyBorder="1" applyAlignment="1">
      <alignment horizontal="center" vertical="center" wrapText="1"/>
    </xf>
    <xf numFmtId="3" fontId="10" fillId="0" borderId="23" xfId="3" applyNumberFormat="1" applyFont="1" applyFill="1" applyBorder="1" applyAlignment="1">
      <alignment horizontal="center" vertical="center" wrapText="1"/>
    </xf>
    <xf numFmtId="1" fontId="6" fillId="0" borderId="35" xfId="0" applyNumberFormat="1" applyFont="1" applyFill="1" applyBorder="1" applyAlignment="1">
      <alignment horizontal="left" vertical="center" wrapText="1"/>
    </xf>
    <xf numFmtId="1" fontId="26" fillId="0" borderId="2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1" fontId="26" fillId="3" borderId="2" xfId="0" applyNumberFormat="1" applyFont="1" applyFill="1" applyBorder="1" applyAlignment="1">
      <alignment horizontal="center" vertical="center"/>
    </xf>
    <xf numFmtId="1" fontId="78" fillId="0" borderId="2" xfId="0" applyNumberFormat="1" applyFont="1" applyFill="1" applyBorder="1" applyAlignment="1">
      <alignment horizontal="center" vertical="center"/>
    </xf>
    <xf numFmtId="1" fontId="26" fillId="0" borderId="55" xfId="0" applyNumberFormat="1" applyFont="1" applyFill="1" applyBorder="1" applyAlignment="1">
      <alignment horizontal="center" vertical="center"/>
    </xf>
    <xf numFmtId="169" fontId="26" fillId="0" borderId="23" xfId="0" applyNumberFormat="1" applyFont="1" applyFill="1" applyBorder="1" applyAlignment="1">
      <alignment horizontal="center" vertical="center"/>
    </xf>
    <xf numFmtId="3" fontId="26" fillId="0" borderId="23" xfId="0" applyNumberFormat="1" applyFont="1" applyFill="1" applyBorder="1" applyAlignment="1">
      <alignment horizontal="center" vertical="center"/>
    </xf>
    <xf numFmtId="1" fontId="26" fillId="0" borderId="50" xfId="0" applyNumberFormat="1" applyFont="1" applyFill="1" applyBorder="1" applyAlignment="1">
      <alignment horizontal="center" vertical="center"/>
    </xf>
    <xf numFmtId="169" fontId="26" fillId="3" borderId="1" xfId="0" applyNumberFormat="1" applyFont="1" applyFill="1" applyBorder="1" applyAlignment="1">
      <alignment horizontal="center" vertical="center"/>
    </xf>
    <xf numFmtId="1" fontId="26" fillId="3" borderId="50" xfId="0" applyNumberFormat="1" applyFont="1" applyFill="1" applyBorder="1" applyAlignment="1">
      <alignment horizontal="center" vertical="center"/>
    </xf>
    <xf numFmtId="1" fontId="26" fillId="0" borderId="51" xfId="0" applyNumberFormat="1" applyFont="1" applyFill="1" applyBorder="1" applyAlignment="1">
      <alignment horizontal="center" vertical="center"/>
    </xf>
    <xf numFmtId="169" fontId="78" fillId="0" borderId="1" xfId="0" applyNumberFormat="1" applyFont="1" applyFill="1" applyBorder="1" applyAlignment="1">
      <alignment horizontal="center" vertical="center"/>
    </xf>
    <xf numFmtId="3" fontId="78" fillId="0" borderId="1" xfId="0" applyNumberFormat="1" applyFont="1" applyFill="1" applyBorder="1" applyAlignment="1">
      <alignment horizontal="center" vertical="center"/>
    </xf>
    <xf numFmtId="1" fontId="78" fillId="0" borderId="1" xfId="0" applyNumberFormat="1" applyFont="1" applyFill="1" applyBorder="1" applyAlignment="1">
      <alignment horizontal="center" vertical="center" wrapText="1"/>
    </xf>
    <xf numFmtId="169" fontId="26" fillId="0" borderId="55" xfId="0" applyNumberFormat="1" applyFont="1" applyFill="1" applyBorder="1" applyAlignment="1">
      <alignment horizontal="center" vertical="center"/>
    </xf>
    <xf numFmtId="169" fontId="26" fillId="0" borderId="50" xfId="0" applyNumberFormat="1" applyFont="1" applyFill="1" applyBorder="1" applyAlignment="1">
      <alignment horizontal="center" vertical="center"/>
    </xf>
    <xf numFmtId="169" fontId="26" fillId="3" borderId="50" xfId="0" applyNumberFormat="1" applyFont="1" applyFill="1" applyBorder="1" applyAlignment="1">
      <alignment horizontal="center" vertical="center"/>
    </xf>
    <xf numFmtId="169" fontId="26" fillId="0" borderId="51" xfId="0" applyNumberFormat="1" applyFont="1" applyFill="1" applyBorder="1" applyAlignment="1">
      <alignment horizontal="center" vertical="center"/>
    </xf>
    <xf numFmtId="169" fontId="78" fillId="0" borderId="3" xfId="0" applyNumberFormat="1" applyFont="1" applyFill="1" applyBorder="1" applyAlignment="1">
      <alignment horizontal="center" vertical="center"/>
    </xf>
    <xf numFmtId="1" fontId="26" fillId="0" borderId="25" xfId="0" applyNumberFormat="1" applyFont="1" applyFill="1" applyBorder="1" applyAlignment="1">
      <alignment horizontal="center" vertical="center"/>
    </xf>
    <xf numFmtId="1" fontId="26" fillId="3" borderId="6" xfId="0" applyNumberFormat="1" applyFont="1" applyFill="1" applyBorder="1" applyAlignment="1">
      <alignment horizontal="center" vertical="center"/>
    </xf>
    <xf numFmtId="1" fontId="78" fillId="0" borderId="6" xfId="0" applyNumberFormat="1" applyFont="1" applyFill="1" applyBorder="1" applyAlignment="1">
      <alignment horizontal="center" vertical="center"/>
    </xf>
    <xf numFmtId="167" fontId="10" fillId="0" borderId="20" xfId="0" applyNumberFormat="1" applyFont="1" applyFill="1" applyBorder="1" applyAlignment="1">
      <alignment horizontal="center"/>
    </xf>
    <xf numFmtId="167" fontId="6" fillId="0" borderId="20" xfId="0" applyNumberFormat="1" applyFont="1" applyFill="1" applyBorder="1" applyAlignment="1">
      <alignment horizontal="center" vertical="center"/>
    </xf>
    <xf numFmtId="167" fontId="10" fillId="0" borderId="20" xfId="0" applyNumberFormat="1" applyFont="1" applyFill="1" applyBorder="1" applyAlignment="1">
      <alignment horizontal="center" vertical="center"/>
    </xf>
    <xf numFmtId="169" fontId="7" fillId="0" borderId="1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10" fillId="0" borderId="1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vertical="center"/>
    </xf>
    <xf numFmtId="3" fontId="10" fillId="0" borderId="21" xfId="1" applyNumberFormat="1" applyFont="1" applyFill="1" applyBorder="1" applyAlignment="1">
      <alignment horizontal="center" vertical="center"/>
    </xf>
    <xf numFmtId="3" fontId="2" fillId="3" borderId="0" xfId="0" applyNumberFormat="1" applyFont="1" applyFill="1"/>
    <xf numFmtId="49" fontId="23" fillId="3" borderId="43" xfId="0" applyNumberFormat="1" applyFont="1" applyFill="1" applyBorder="1" applyAlignment="1">
      <alignment horizontal="left" vertical="center" wrapText="1"/>
    </xf>
    <xf numFmtId="49" fontId="96" fillId="0" borderId="43" xfId="0" applyNumberFormat="1" applyFont="1" applyFill="1" applyBorder="1" applyAlignment="1">
      <alignment horizontal="right" vertical="center" wrapText="1"/>
    </xf>
    <xf numFmtId="49" fontId="97" fillId="0" borderId="43" xfId="0" applyNumberFormat="1" applyFont="1" applyFill="1" applyBorder="1" applyAlignment="1">
      <alignment horizontal="left" vertical="center" wrapText="1"/>
    </xf>
    <xf numFmtId="3" fontId="98" fillId="0" borderId="19" xfId="1" applyNumberFormat="1" applyFont="1" applyFill="1" applyBorder="1" applyAlignment="1">
      <alignment vertical="center"/>
    </xf>
    <xf numFmtId="3" fontId="98" fillId="0" borderId="3" xfId="1" applyNumberFormat="1" applyFont="1" applyFill="1" applyBorder="1" applyAlignment="1">
      <alignment vertical="center"/>
    </xf>
    <xf numFmtId="3" fontId="99" fillId="0" borderId="13" xfId="1" applyNumberFormat="1" applyFont="1" applyFill="1" applyBorder="1" applyAlignment="1">
      <alignment vertical="center"/>
    </xf>
    <xf numFmtId="3" fontId="100" fillId="0" borderId="0" xfId="0" applyNumberFormat="1" applyFont="1" applyFill="1"/>
    <xf numFmtId="0" fontId="101" fillId="0" borderId="0" xfId="0" applyFont="1" applyFill="1"/>
    <xf numFmtId="0" fontId="36" fillId="0" borderId="3" xfId="0" applyFont="1" applyBorder="1" applyAlignment="1">
      <alignment horizontal="center" vertical="center" wrapText="1"/>
    </xf>
    <xf numFmtId="174" fontId="36" fillId="0" borderId="3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/>
    </xf>
    <xf numFmtId="174" fontId="36" fillId="0" borderId="3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vertical="center"/>
    </xf>
    <xf numFmtId="174" fontId="37" fillId="0" borderId="3" xfId="0" applyNumberFormat="1" applyFont="1" applyBorder="1" applyAlignment="1">
      <alignment horizontal="center" vertical="center"/>
    </xf>
    <xf numFmtId="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3" fontId="36" fillId="0" borderId="28" xfId="0" applyNumberFormat="1" applyFont="1" applyBorder="1" applyAlignment="1">
      <alignment horizontal="center" vertical="center"/>
    </xf>
    <xf numFmtId="4" fontId="37" fillId="0" borderId="39" xfId="0" applyNumberFormat="1" applyFont="1" applyBorder="1" applyAlignment="1">
      <alignment horizontal="center" vertical="center"/>
    </xf>
    <xf numFmtId="174" fontId="36" fillId="0" borderId="41" xfId="0" applyNumberFormat="1" applyFont="1" applyBorder="1" applyAlignment="1">
      <alignment horizontal="center" vertical="center"/>
    </xf>
    <xf numFmtId="0" fontId="36" fillId="0" borderId="70" xfId="0" applyFont="1" applyBorder="1" applyAlignment="1">
      <alignment horizontal="center" vertical="center"/>
    </xf>
    <xf numFmtId="165" fontId="36" fillId="0" borderId="64" xfId="0" applyNumberFormat="1" applyFont="1" applyBorder="1" applyAlignment="1">
      <alignment horizontal="center" vertical="center"/>
    </xf>
    <xf numFmtId="165" fontId="36" fillId="0" borderId="42" xfId="0" applyNumberFormat="1" applyFont="1" applyBorder="1" applyAlignment="1">
      <alignment horizontal="center" vertical="center" wrapText="1"/>
    </xf>
    <xf numFmtId="165" fontId="36" fillId="0" borderId="49" xfId="0" applyNumberFormat="1" applyFont="1" applyBorder="1" applyAlignment="1">
      <alignment horizontal="center" vertical="center" wrapText="1"/>
    </xf>
    <xf numFmtId="165" fontId="36" fillId="0" borderId="31" xfId="0" applyNumberFormat="1" applyFont="1" applyBorder="1" applyAlignment="1">
      <alignment horizontal="center" vertical="center" wrapText="1"/>
    </xf>
    <xf numFmtId="165" fontId="36" fillId="0" borderId="36" xfId="0" applyNumberFormat="1" applyFont="1" applyBorder="1" applyAlignment="1">
      <alignment horizontal="center" vertical="center" wrapText="1"/>
    </xf>
    <xf numFmtId="174" fontId="40" fillId="0" borderId="50" xfId="0" applyNumberFormat="1" applyFont="1" applyBorder="1" applyAlignment="1">
      <alignment horizontal="center" vertical="center"/>
    </xf>
    <xf numFmtId="174" fontId="36" fillId="0" borderId="50" xfId="0" applyNumberFormat="1" applyFont="1" applyBorder="1" applyAlignment="1">
      <alignment horizontal="center" vertical="center"/>
    </xf>
    <xf numFmtId="169" fontId="36" fillId="0" borderId="6" xfId="0" applyNumberFormat="1" applyFont="1" applyBorder="1" applyAlignment="1">
      <alignment horizontal="center" vertical="center"/>
    </xf>
    <xf numFmtId="4" fontId="58" fillId="0" borderId="25" xfId="0" applyNumberFormat="1" applyFont="1" applyBorder="1" applyAlignment="1">
      <alignment horizontal="center" vertical="center"/>
    </xf>
    <xf numFmtId="4" fontId="58" fillId="0" borderId="6" xfId="0" applyNumberFormat="1" applyFont="1" applyBorder="1" applyAlignment="1">
      <alignment horizontal="center" vertical="center"/>
    </xf>
    <xf numFmtId="3" fontId="40" fillId="0" borderId="55" xfId="0" applyNumberFormat="1" applyFont="1" applyBorder="1" applyAlignment="1">
      <alignment vertical="center"/>
    </xf>
    <xf numFmtId="4" fontId="58" fillId="0" borderId="26" xfId="0" applyNumberFormat="1" applyFont="1" applyBorder="1" applyAlignment="1">
      <alignment vertical="center"/>
    </xf>
    <xf numFmtId="3" fontId="40" fillId="0" borderId="51" xfId="0" applyNumberFormat="1" applyFont="1" applyBorder="1" applyAlignment="1">
      <alignment vertical="center"/>
    </xf>
    <xf numFmtId="4" fontId="58" fillId="0" borderId="13" xfId="0" applyNumberFormat="1" applyFont="1" applyBorder="1" applyAlignment="1">
      <alignment vertical="center"/>
    </xf>
    <xf numFmtId="3" fontId="40" fillId="0" borderId="69" xfId="0" applyNumberFormat="1" applyFont="1" applyBorder="1" applyAlignment="1">
      <alignment vertical="center"/>
    </xf>
    <xf numFmtId="4" fontId="58" fillId="0" borderId="14" xfId="0" applyNumberFormat="1" applyFont="1" applyBorder="1" applyAlignment="1">
      <alignment vertical="center"/>
    </xf>
    <xf numFmtId="4" fontId="37" fillId="0" borderId="4" xfId="0" applyNumberFormat="1" applyFont="1" applyBorder="1" applyAlignment="1">
      <alignment horizontal="center" vertical="center"/>
    </xf>
    <xf numFmtId="165" fontId="36" fillId="0" borderId="75" xfId="0" applyNumberFormat="1" applyFont="1" applyBorder="1" applyAlignment="1">
      <alignment horizontal="center" vertical="center" wrapText="1"/>
    </xf>
    <xf numFmtId="165" fontId="36" fillId="0" borderId="44" xfId="0" applyNumberFormat="1" applyFont="1" applyBorder="1" applyAlignment="1">
      <alignment horizontal="center" vertical="center" wrapText="1"/>
    </xf>
    <xf numFmtId="174" fontId="40" fillId="0" borderId="69" xfId="0" applyNumberFormat="1" applyFont="1" applyBorder="1" applyAlignment="1">
      <alignment horizontal="center" vertical="center"/>
    </xf>
    <xf numFmtId="4" fontId="58" fillId="0" borderId="10" xfId="0" applyNumberFormat="1" applyFont="1" applyBorder="1" applyAlignment="1">
      <alignment horizontal="center" vertical="center"/>
    </xf>
    <xf numFmtId="3" fontId="40" fillId="0" borderId="50" xfId="0" applyNumberFormat="1" applyFont="1" applyBorder="1" applyAlignment="1">
      <alignment vertical="center"/>
    </xf>
    <xf numFmtId="4" fontId="58" fillId="0" borderId="4" xfId="0" applyNumberFormat="1" applyFont="1" applyBorder="1" applyAlignment="1">
      <alignment vertical="center"/>
    </xf>
    <xf numFmtId="165" fontId="36" fillId="0" borderId="77" xfId="0" applyNumberFormat="1" applyFont="1" applyBorder="1" applyAlignment="1">
      <alignment horizontal="center" vertical="center" wrapText="1"/>
    </xf>
    <xf numFmtId="165" fontId="36" fillId="0" borderId="47" xfId="0" applyNumberFormat="1" applyFont="1" applyBorder="1" applyAlignment="1">
      <alignment horizontal="center" vertical="center" wrapText="1"/>
    </xf>
    <xf numFmtId="169" fontId="36" fillId="0" borderId="8" xfId="0" applyNumberFormat="1" applyFont="1" applyBorder="1" applyAlignment="1">
      <alignment horizontal="center" vertical="center"/>
    </xf>
    <xf numFmtId="4" fontId="58" fillId="0" borderId="74" xfId="0" applyNumberFormat="1" applyFont="1" applyBorder="1" applyAlignment="1">
      <alignment horizontal="center" vertical="center"/>
    </xf>
    <xf numFmtId="3" fontId="37" fillId="6" borderId="48" xfId="0" applyNumberFormat="1" applyFont="1" applyFill="1" applyBorder="1" applyAlignment="1">
      <alignment horizontal="center" vertical="center"/>
    </xf>
    <xf numFmtId="49" fontId="37" fillId="6" borderId="48" xfId="0" applyNumberFormat="1" applyFont="1" applyFill="1" applyBorder="1" applyAlignment="1">
      <alignment horizontal="center" vertical="center"/>
    </xf>
    <xf numFmtId="165" fontId="37" fillId="6" borderId="64" xfId="0" applyNumberFormat="1" applyFont="1" applyFill="1" applyBorder="1" applyAlignment="1">
      <alignment horizontal="center" vertical="center" wrapText="1"/>
    </xf>
    <xf numFmtId="165" fontId="37" fillId="6" borderId="48" xfId="0" applyNumberFormat="1" applyFont="1" applyFill="1" applyBorder="1" applyAlignment="1">
      <alignment horizontal="center" vertical="center" wrapText="1"/>
    </xf>
    <xf numFmtId="4" fontId="37" fillId="6" borderId="65" xfId="0" applyNumberFormat="1" applyFont="1" applyFill="1" applyBorder="1" applyAlignment="1">
      <alignment horizontal="center" vertical="center"/>
    </xf>
    <xf numFmtId="174" fontId="37" fillId="6" borderId="57" xfId="0" applyNumberFormat="1" applyFont="1" applyFill="1" applyBorder="1" applyAlignment="1">
      <alignment horizontal="center" vertical="center"/>
    </xf>
    <xf numFmtId="3" fontId="37" fillId="6" borderId="58" xfId="0" applyNumberFormat="1" applyFont="1" applyFill="1" applyBorder="1" applyAlignment="1">
      <alignment horizontal="center" vertical="center"/>
    </xf>
    <xf numFmtId="169" fontId="37" fillId="6" borderId="58" xfId="0" applyNumberFormat="1" applyFont="1" applyFill="1" applyBorder="1" applyAlignment="1">
      <alignment horizontal="center" vertical="center"/>
    </xf>
    <xf numFmtId="4" fontId="37" fillId="6" borderId="63" xfId="0" applyNumberFormat="1" applyFont="1" applyFill="1" applyBorder="1" applyAlignment="1">
      <alignment horizontal="center" vertical="center"/>
    </xf>
    <xf numFmtId="4" fontId="37" fillId="6" borderId="59" xfId="0" applyNumberFormat="1" applyFont="1" applyFill="1" applyBorder="1" applyAlignment="1">
      <alignment horizontal="center" vertical="center"/>
    </xf>
    <xf numFmtId="174" fontId="36" fillId="0" borderId="69" xfId="0" applyNumberFormat="1" applyFont="1" applyBorder="1" applyAlignment="1">
      <alignment horizontal="center" vertical="center"/>
    </xf>
    <xf numFmtId="3" fontId="37" fillId="6" borderId="57" xfId="0" applyNumberFormat="1" applyFont="1" applyFill="1" applyBorder="1" applyAlignment="1">
      <alignment vertical="center"/>
    </xf>
    <xf numFmtId="4" fontId="37" fillId="0" borderId="26" xfId="0" applyNumberFormat="1" applyFont="1" applyFill="1" applyBorder="1" applyAlignment="1">
      <alignment horizontal="center" vertical="center"/>
    </xf>
    <xf numFmtId="4" fontId="37" fillId="0" borderId="4" xfId="0" applyNumberFormat="1" applyFont="1" applyFill="1" applyBorder="1" applyAlignment="1">
      <alignment horizontal="center" vertical="center"/>
    </xf>
    <xf numFmtId="4" fontId="37" fillId="0" borderId="39" xfId="0" applyNumberFormat="1" applyFont="1" applyFill="1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4" fontId="37" fillId="0" borderId="25" xfId="0" applyNumberFormat="1" applyFont="1" applyBorder="1" applyAlignment="1">
      <alignment horizontal="center" vertical="center"/>
    </xf>
    <xf numFmtId="4" fontId="37" fillId="0" borderId="6" xfId="0" applyNumberFormat="1" applyFont="1" applyBorder="1" applyAlignment="1">
      <alignment horizontal="center" vertical="center"/>
    </xf>
    <xf numFmtId="3" fontId="36" fillId="0" borderId="55" xfId="0" applyNumberFormat="1" applyFont="1" applyFill="1" applyBorder="1" applyAlignment="1">
      <alignment horizontal="center" vertical="center"/>
    </xf>
    <xf numFmtId="169" fontId="36" fillId="0" borderId="23" xfId="0" applyNumberFormat="1" applyFont="1" applyFill="1" applyBorder="1" applyAlignment="1">
      <alignment horizontal="center" vertical="center"/>
    </xf>
    <xf numFmtId="3" fontId="36" fillId="0" borderId="50" xfId="0" applyNumberFormat="1" applyFont="1" applyFill="1" applyBorder="1" applyAlignment="1">
      <alignment horizontal="center" vertical="center"/>
    </xf>
    <xf numFmtId="169" fontId="36" fillId="0" borderId="1" xfId="0" applyNumberFormat="1" applyFont="1" applyFill="1" applyBorder="1" applyAlignment="1">
      <alignment horizontal="center" vertical="center"/>
    </xf>
    <xf numFmtId="169" fontId="36" fillId="0" borderId="3" xfId="0" applyNumberFormat="1" applyFont="1" applyFill="1" applyBorder="1" applyAlignment="1">
      <alignment horizontal="center" vertical="center"/>
    </xf>
    <xf numFmtId="165" fontId="36" fillId="0" borderId="49" xfId="0" applyNumberFormat="1" applyFont="1" applyFill="1" applyBorder="1" applyAlignment="1">
      <alignment horizontal="center" vertical="center" wrapText="1"/>
    </xf>
    <xf numFmtId="165" fontId="36" fillId="0" borderId="42" xfId="0" applyNumberFormat="1" applyFont="1" applyFill="1" applyBorder="1" applyAlignment="1">
      <alignment horizontal="center" vertical="center" wrapText="1"/>
    </xf>
    <xf numFmtId="174" fontId="36" fillId="0" borderId="55" xfId="0" applyNumberFormat="1" applyFont="1" applyFill="1" applyBorder="1" applyAlignment="1">
      <alignment horizontal="center" vertical="center"/>
    </xf>
    <xf numFmtId="3" fontId="36" fillId="0" borderId="23" xfId="0" applyNumberFormat="1" applyFont="1" applyFill="1" applyBorder="1" applyAlignment="1">
      <alignment horizontal="center" vertical="center"/>
    </xf>
    <xf numFmtId="165" fontId="36" fillId="0" borderId="31" xfId="0" applyNumberFormat="1" applyFont="1" applyFill="1" applyBorder="1" applyAlignment="1">
      <alignment horizontal="center" vertical="center" wrapText="1"/>
    </xf>
    <xf numFmtId="165" fontId="36" fillId="0" borderId="36" xfId="0" applyNumberFormat="1" applyFont="1" applyFill="1" applyBorder="1" applyAlignment="1">
      <alignment horizontal="center" vertical="center" wrapText="1"/>
    </xf>
    <xf numFmtId="174" fontId="36" fillId="0" borderId="50" xfId="0" applyNumberFormat="1" applyFont="1" applyFill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center" vertical="center"/>
    </xf>
    <xf numFmtId="169" fontId="36" fillId="0" borderId="6" xfId="0" applyNumberFormat="1" applyFont="1" applyFill="1" applyBorder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169" fontId="36" fillId="0" borderId="25" xfId="0" applyNumberFormat="1" applyFont="1" applyFill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 wrapText="1"/>
    </xf>
    <xf numFmtId="169" fontId="36" fillId="0" borderId="73" xfId="0" applyNumberFormat="1" applyFont="1" applyBorder="1" applyAlignment="1">
      <alignment horizontal="center" vertical="center"/>
    </xf>
    <xf numFmtId="169" fontId="36" fillId="0" borderId="15" xfId="0" applyNumberFormat="1" applyFont="1" applyBorder="1" applyAlignment="1">
      <alignment horizontal="center" vertical="center"/>
    </xf>
    <xf numFmtId="169" fontId="36" fillId="0" borderId="68" xfId="0" applyNumberFormat="1" applyFont="1" applyBorder="1" applyAlignment="1">
      <alignment horizontal="center" vertical="center"/>
    </xf>
    <xf numFmtId="4" fontId="37" fillId="0" borderId="18" xfId="0" applyNumberFormat="1" applyFont="1" applyFill="1" applyBorder="1" applyAlignment="1">
      <alignment horizontal="center" vertical="center"/>
    </xf>
    <xf numFmtId="169" fontId="36" fillId="0" borderId="10" xfId="0" applyNumberFormat="1" applyFont="1" applyBorder="1" applyAlignment="1">
      <alignment horizontal="center" vertical="center"/>
    </xf>
    <xf numFmtId="4" fontId="37" fillId="0" borderId="63" xfId="0" applyNumberFormat="1" applyFont="1" applyBorder="1" applyAlignment="1">
      <alignment horizontal="center" vertical="center"/>
    </xf>
    <xf numFmtId="49" fontId="37" fillId="0" borderId="48" xfId="0" applyNumberFormat="1" applyFont="1" applyBorder="1" applyAlignment="1">
      <alignment horizontal="center" vertical="center" wrapText="1"/>
    </xf>
    <xf numFmtId="0" fontId="23" fillId="0" borderId="56" xfId="0" applyNumberFormat="1" applyFont="1" applyFill="1" applyBorder="1" applyAlignment="1">
      <alignment horizontal="left" vertical="center" wrapText="1"/>
    </xf>
    <xf numFmtId="3" fontId="23" fillId="0" borderId="15" xfId="0" applyNumberFormat="1" applyFont="1" applyFill="1" applyBorder="1" applyAlignment="1">
      <alignment horizontal="center" vertical="center"/>
    </xf>
    <xf numFmtId="49" fontId="37" fillId="0" borderId="35" xfId="0" applyNumberFormat="1" applyFont="1" applyBorder="1" applyAlignment="1">
      <alignment horizontal="center" vertical="center"/>
    </xf>
    <xf numFmtId="4" fontId="36" fillId="0" borderId="3" xfId="0" applyNumberFormat="1" applyFont="1" applyBorder="1" applyAlignment="1">
      <alignment horizontal="center" vertical="center" wrapText="1"/>
    </xf>
    <xf numFmtId="3" fontId="23" fillId="0" borderId="28" xfId="0" applyNumberFormat="1" applyFont="1" applyFill="1" applyBorder="1" applyAlignment="1">
      <alignment horizontal="center" vertical="center"/>
    </xf>
    <xf numFmtId="3" fontId="23" fillId="0" borderId="39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60" xfId="0" applyFont="1" applyBorder="1" applyAlignment="1">
      <alignment horizontal="left" vertical="center" wrapText="1"/>
    </xf>
    <xf numFmtId="165" fontId="36" fillId="0" borderId="30" xfId="0" applyNumberFormat="1" applyFont="1" applyBorder="1" applyAlignment="1">
      <alignment horizontal="center" vertical="center" wrapText="1"/>
    </xf>
    <xf numFmtId="165" fontId="36" fillId="0" borderId="30" xfId="0" applyNumberFormat="1" applyFont="1" applyFill="1" applyBorder="1" applyAlignment="1">
      <alignment horizontal="center" vertical="center" wrapText="1"/>
    </xf>
    <xf numFmtId="3" fontId="40" fillId="0" borderId="54" xfId="0" applyNumberFormat="1" applyFont="1" applyBorder="1" applyAlignment="1">
      <alignment vertical="center"/>
    </xf>
    <xf numFmtId="4" fontId="58" fillId="0" borderId="18" xfId="0" applyNumberFormat="1" applyFont="1" applyBorder="1" applyAlignment="1">
      <alignment vertical="center"/>
    </xf>
    <xf numFmtId="3" fontId="58" fillId="0" borderId="35" xfId="0" applyNumberFormat="1" applyFont="1" applyBorder="1" applyAlignment="1">
      <alignment horizontal="center" vertical="center"/>
    </xf>
    <xf numFmtId="165" fontId="40" fillId="0" borderId="35" xfId="0" applyNumberFormat="1" applyFont="1" applyFill="1" applyBorder="1" applyAlignment="1">
      <alignment horizontal="center" vertical="center" wrapText="1"/>
    </xf>
    <xf numFmtId="174" fontId="40" fillId="0" borderId="54" xfId="0" applyNumberFormat="1" applyFont="1" applyFill="1" applyBorder="1" applyAlignment="1">
      <alignment horizontal="center" vertical="center"/>
    </xf>
    <xf numFmtId="3" fontId="40" fillId="0" borderId="1" xfId="0" applyNumberFormat="1" applyFont="1" applyFill="1" applyBorder="1" applyAlignment="1">
      <alignment horizontal="center" vertical="center"/>
    </xf>
    <xf numFmtId="169" fontId="40" fillId="0" borderId="17" xfId="0" applyNumberFormat="1" applyFont="1" applyFill="1" applyBorder="1" applyAlignment="1">
      <alignment horizontal="center" vertical="center"/>
    </xf>
    <xf numFmtId="169" fontId="40" fillId="0" borderId="6" xfId="0" applyNumberFormat="1" applyFont="1" applyFill="1" applyBorder="1" applyAlignment="1">
      <alignment horizontal="center" vertical="center"/>
    </xf>
    <xf numFmtId="4" fontId="58" fillId="0" borderId="4" xfId="0" applyNumberFormat="1" applyFont="1" applyFill="1" applyBorder="1" applyAlignment="1">
      <alignment horizontal="center" vertical="center"/>
    </xf>
    <xf numFmtId="3" fontId="40" fillId="0" borderId="16" xfId="0" applyNumberFormat="1" applyFont="1" applyFill="1" applyBorder="1" applyAlignment="1">
      <alignment horizontal="center" vertical="center"/>
    </xf>
    <xf numFmtId="169" fontId="40" fillId="0" borderId="53" xfId="0" applyNumberFormat="1" applyFont="1" applyFill="1" applyBorder="1" applyAlignment="1">
      <alignment horizontal="center" vertical="center"/>
    </xf>
    <xf numFmtId="4" fontId="58" fillId="0" borderId="18" xfId="0" applyNumberFormat="1" applyFont="1" applyFill="1" applyBorder="1" applyAlignment="1">
      <alignment horizontal="center" vertical="center"/>
    </xf>
    <xf numFmtId="174" fontId="40" fillId="0" borderId="54" xfId="0" applyNumberFormat="1" applyFont="1" applyBorder="1" applyAlignment="1">
      <alignment horizontal="center" vertical="center"/>
    </xf>
    <xf numFmtId="4" fontId="58" fillId="0" borderId="53" xfId="0" applyNumberFormat="1" applyFont="1" applyBorder="1" applyAlignment="1">
      <alignment horizontal="center" vertical="center"/>
    </xf>
    <xf numFmtId="4" fontId="58" fillId="0" borderId="60" xfId="0" applyNumberFormat="1" applyFont="1" applyBorder="1" applyAlignment="1">
      <alignment horizontal="center" vertical="center"/>
    </xf>
    <xf numFmtId="1" fontId="26" fillId="0" borderId="19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26" fillId="0" borderId="27" xfId="0" applyNumberFormat="1" applyFont="1" applyFill="1" applyBorder="1" applyAlignment="1">
      <alignment horizontal="center" vertical="center"/>
    </xf>
    <xf numFmtId="1" fontId="26" fillId="0" borderId="7" xfId="0" applyNumberFormat="1" applyFont="1" applyFill="1" applyBorder="1" applyAlignment="1">
      <alignment horizontal="center" vertical="center"/>
    </xf>
    <xf numFmtId="1" fontId="26" fillId="3" borderId="7" xfId="0" applyNumberFormat="1" applyFont="1" applyFill="1" applyBorder="1" applyAlignment="1">
      <alignment horizontal="center" vertical="center"/>
    </xf>
    <xf numFmtId="1" fontId="78" fillId="0" borderId="7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26" fillId="0" borderId="60" xfId="0" applyNumberFormat="1" applyFont="1" applyFill="1" applyBorder="1" applyAlignment="1">
      <alignment horizontal="center" vertical="center"/>
    </xf>
    <xf numFmtId="1" fontId="6" fillId="0" borderId="60" xfId="0" applyNumberFormat="1" applyFont="1" applyFill="1" applyBorder="1"/>
    <xf numFmtId="165" fontId="26" fillId="0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/>
    </xf>
    <xf numFmtId="49" fontId="26" fillId="0" borderId="43" xfId="0" applyNumberFormat="1" applyFont="1" applyFill="1" applyBorder="1" applyAlignment="1">
      <alignment wrapText="1"/>
    </xf>
    <xf numFmtId="169" fontId="30" fillId="0" borderId="4" xfId="0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1" fontId="5" fillId="0" borderId="72" xfId="0" applyNumberFormat="1" applyFont="1" applyFill="1" applyBorder="1"/>
    <xf numFmtId="1" fontId="5" fillId="0" borderId="70" xfId="0" applyNumberFormat="1" applyFont="1" applyFill="1" applyBorder="1"/>
    <xf numFmtId="1" fontId="26" fillId="0" borderId="11" xfId="0" applyNumberFormat="1" applyFont="1" applyFill="1" applyBorder="1" applyAlignment="1">
      <alignment horizontal="center" vertical="center" wrapText="1"/>
    </xf>
    <xf numFmtId="169" fontId="26" fillId="0" borderId="17" xfId="0" applyNumberFormat="1" applyFont="1" applyFill="1" applyBorder="1" applyAlignment="1">
      <alignment horizontal="center" vertical="center"/>
    </xf>
    <xf numFmtId="3" fontId="26" fillId="0" borderId="17" xfId="0" applyNumberFormat="1" applyFont="1" applyFill="1" applyBorder="1" applyAlignment="1">
      <alignment horizontal="center" vertical="center"/>
    </xf>
    <xf numFmtId="1" fontId="26" fillId="0" borderId="53" xfId="0" applyNumberFormat="1" applyFont="1" applyFill="1" applyBorder="1" applyAlignment="1">
      <alignment horizontal="center" vertical="center"/>
    </xf>
    <xf numFmtId="1" fontId="26" fillId="0" borderId="16" xfId="0" applyNumberFormat="1" applyFont="1" applyFill="1" applyBorder="1" applyAlignment="1">
      <alignment horizontal="center" vertical="center"/>
    </xf>
    <xf numFmtId="1" fontId="26" fillId="0" borderId="17" xfId="0" applyNumberFormat="1" applyFont="1" applyFill="1" applyBorder="1"/>
    <xf numFmtId="2" fontId="26" fillId="0" borderId="17" xfId="0" applyNumberFormat="1" applyFont="1" applyFill="1" applyBorder="1"/>
    <xf numFmtId="1" fontId="26" fillId="0" borderId="18" xfId="0" applyNumberFormat="1" applyFont="1" applyFill="1" applyBorder="1"/>
    <xf numFmtId="1" fontId="26" fillId="0" borderId="16" xfId="0" applyNumberFormat="1" applyFont="1" applyFill="1" applyBorder="1"/>
    <xf numFmtId="1" fontId="26" fillId="0" borderId="60" xfId="0" applyNumberFormat="1" applyFont="1" applyFill="1" applyBorder="1"/>
    <xf numFmtId="168" fontId="10" fillId="0" borderId="62" xfId="0" applyNumberFormat="1" applyFont="1" applyFill="1" applyBorder="1" applyAlignment="1">
      <alignment horizontal="center" vertical="center" wrapText="1"/>
    </xf>
    <xf numFmtId="168" fontId="10" fillId="0" borderId="58" xfId="0" applyNumberFormat="1" applyFont="1" applyFill="1" applyBorder="1" applyAlignment="1">
      <alignment horizontal="center" vertical="center" wrapText="1"/>
    </xf>
    <xf numFmtId="168" fontId="6" fillId="0" borderId="58" xfId="0" applyNumberFormat="1" applyFont="1" applyFill="1" applyBorder="1" applyAlignment="1">
      <alignment horizontal="center" vertical="center" wrapText="1"/>
    </xf>
    <xf numFmtId="168" fontId="6" fillId="0" borderId="63" xfId="0" applyNumberFormat="1" applyFont="1" applyFill="1" applyBorder="1" applyAlignment="1">
      <alignment horizontal="center" vertical="center" wrapText="1"/>
    </xf>
    <xf numFmtId="167" fontId="10" fillId="0" borderId="33" xfId="0" applyNumberFormat="1" applyFont="1" applyFill="1" applyBorder="1"/>
    <xf numFmtId="167" fontId="10" fillId="5" borderId="33" xfId="0" applyNumberFormat="1" applyFont="1" applyFill="1" applyBorder="1"/>
    <xf numFmtId="3" fontId="6" fillId="0" borderId="19" xfId="0" applyNumberFormat="1" applyFont="1" applyFill="1" applyBorder="1" applyAlignment="1">
      <alignment horizontal="center" vertical="center" wrapText="1"/>
    </xf>
    <xf numFmtId="169" fontId="6" fillId="0" borderId="19" xfId="0" applyNumberFormat="1" applyFont="1" applyFill="1" applyBorder="1" applyAlignment="1">
      <alignment horizontal="center" vertical="center" wrapText="1"/>
    </xf>
    <xf numFmtId="169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169" fontId="68" fillId="0" borderId="3" xfId="0" applyNumberFormat="1" applyFont="1" applyFill="1" applyBorder="1" applyAlignment="1">
      <alignment horizontal="center" vertical="center"/>
    </xf>
    <xf numFmtId="3" fontId="11" fillId="0" borderId="4" xfId="1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49" fontId="37" fillId="0" borderId="35" xfId="0" applyNumberFormat="1" applyFont="1" applyBorder="1" applyAlignment="1">
      <alignment horizontal="center" vertical="center"/>
    </xf>
    <xf numFmtId="3" fontId="40" fillId="0" borderId="17" xfId="0" applyNumberFormat="1" applyFont="1" applyFill="1" applyBorder="1" applyAlignment="1">
      <alignment horizontal="center" vertical="center"/>
    </xf>
    <xf numFmtId="3" fontId="101" fillId="0" borderId="0" xfId="0" applyNumberFormat="1" applyFont="1" applyFill="1"/>
    <xf numFmtId="49" fontId="102" fillId="0" borderId="43" xfId="0" applyNumberFormat="1" applyFont="1" applyFill="1" applyBorder="1" applyAlignment="1">
      <alignment horizontal="left" wrapText="1"/>
    </xf>
    <xf numFmtId="3" fontId="103" fillId="0" borderId="19" xfId="1" applyNumberFormat="1" applyFont="1" applyFill="1" applyBorder="1" applyAlignment="1">
      <alignment vertical="center"/>
    </xf>
    <xf numFmtId="3" fontId="103" fillId="0" borderId="3" xfId="1" applyNumberFormat="1" applyFont="1" applyFill="1" applyBorder="1" applyAlignment="1">
      <alignment vertical="center"/>
    </xf>
    <xf numFmtId="3" fontId="104" fillId="0" borderId="13" xfId="1" applyNumberFormat="1" applyFont="1" applyFill="1" applyBorder="1" applyAlignment="1">
      <alignment vertical="center"/>
    </xf>
    <xf numFmtId="0" fontId="102" fillId="0" borderId="0" xfId="0" applyFont="1" applyFill="1"/>
    <xf numFmtId="3" fontId="23" fillId="0" borderId="15" xfId="0" applyNumberFormat="1" applyFont="1" applyFill="1" applyBorder="1" applyAlignment="1">
      <alignment horizontal="center" vertical="center"/>
    </xf>
    <xf numFmtId="3" fontId="23" fillId="0" borderId="52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3" fontId="83" fillId="0" borderId="11" xfId="0" applyNumberFormat="1" applyFont="1" applyFill="1" applyBorder="1" applyAlignment="1">
      <alignment horizontal="center" vertical="center"/>
    </xf>
    <xf numFmtId="3" fontId="83" fillId="0" borderId="13" xfId="0" applyNumberFormat="1" applyFont="1" applyFill="1" applyBorder="1" applyAlignment="1">
      <alignment horizontal="center" vertical="center"/>
    </xf>
    <xf numFmtId="3" fontId="83" fillId="0" borderId="31" xfId="0" applyNumberFormat="1" applyFont="1" applyFill="1" applyBorder="1" applyAlignment="1">
      <alignment horizontal="center" vertical="center"/>
    </xf>
    <xf numFmtId="3" fontId="83" fillId="0" borderId="4" xfId="0" applyNumberFormat="1" applyFont="1" applyFill="1" applyBorder="1" applyAlignment="1">
      <alignment horizontal="center" vertical="center"/>
    </xf>
    <xf numFmtId="0" fontId="23" fillId="0" borderId="74" xfId="0" applyFont="1" applyBorder="1" applyAlignment="1">
      <alignment horizontal="center" vertical="center" wrapText="1"/>
    </xf>
    <xf numFmtId="49" fontId="23" fillId="0" borderId="51" xfId="0" applyNumberFormat="1" applyFont="1" applyFill="1" applyBorder="1" applyAlignment="1">
      <alignment horizontal="left" vertical="center" wrapText="1"/>
    </xf>
    <xf numFmtId="1" fontId="78" fillId="0" borderId="43" xfId="0" applyNumberFormat="1" applyFont="1" applyFill="1" applyBorder="1" applyAlignment="1">
      <alignment horizontal="right" vertical="center" wrapText="1"/>
    </xf>
    <xf numFmtId="4" fontId="105" fillId="0" borderId="50" xfId="0" applyNumberFormat="1" applyFont="1" applyFill="1" applyBorder="1" applyAlignment="1">
      <alignment horizontal="center" vertical="center" wrapText="1"/>
    </xf>
    <xf numFmtId="4" fontId="78" fillId="0" borderId="2" xfId="0" applyNumberFormat="1" applyFont="1" applyFill="1" applyBorder="1" applyAlignment="1">
      <alignment horizontal="center" vertical="center" wrapText="1"/>
    </xf>
    <xf numFmtId="4" fontId="7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2" xfId="0" applyNumberFormat="1" applyFont="1" applyFill="1" applyBorder="1" applyAlignment="1">
      <alignment horizontal="center" vertical="center" wrapText="1"/>
    </xf>
    <xf numFmtId="2" fontId="78" fillId="0" borderId="2" xfId="0" applyNumberFormat="1" applyFont="1" applyFill="1" applyBorder="1" applyAlignment="1">
      <alignment horizontal="center" vertical="center" wrapText="1"/>
    </xf>
    <xf numFmtId="1" fontId="78" fillId="0" borderId="2" xfId="0" applyNumberFormat="1" applyFont="1" applyFill="1" applyBorder="1" applyAlignment="1">
      <alignment horizontal="center" vertical="center" wrapText="1"/>
    </xf>
    <xf numFmtId="1" fontId="78" fillId="0" borderId="5" xfId="0" applyNumberFormat="1" applyFont="1" applyFill="1" applyBorder="1" applyAlignment="1">
      <alignment horizontal="center" vertical="center" wrapText="1"/>
    </xf>
    <xf numFmtId="169" fontId="78" fillId="0" borderId="19" xfId="0" applyNumberFormat="1" applyFont="1" applyFill="1" applyBorder="1" applyAlignment="1">
      <alignment horizontal="center" vertical="center" wrapText="1"/>
    </xf>
    <xf numFmtId="169" fontId="78" fillId="0" borderId="21" xfId="0" applyNumberFormat="1" applyFont="1" applyFill="1" applyBorder="1" applyAlignment="1">
      <alignment horizontal="center" vertical="center" wrapText="1"/>
    </xf>
    <xf numFmtId="169" fontId="78" fillId="0" borderId="43" xfId="0" applyNumberFormat="1" applyFont="1" applyFill="1" applyBorder="1" applyAlignment="1">
      <alignment horizontal="center" vertical="center"/>
    </xf>
    <xf numFmtId="169" fontId="78" fillId="0" borderId="19" xfId="0" applyNumberFormat="1" applyFont="1" applyFill="1" applyBorder="1" applyAlignment="1">
      <alignment horizontal="center" vertical="center"/>
    </xf>
    <xf numFmtId="169" fontId="78" fillId="0" borderId="20" xfId="0" applyNumberFormat="1" applyFont="1" applyFill="1" applyBorder="1" applyAlignment="1">
      <alignment horizontal="center" vertical="center"/>
    </xf>
    <xf numFmtId="169" fontId="78" fillId="0" borderId="13" xfId="0" applyNumberFormat="1" applyFont="1" applyFill="1" applyBorder="1" applyAlignment="1">
      <alignment horizontal="center" vertical="center"/>
    </xf>
    <xf numFmtId="4" fontId="78" fillId="0" borderId="19" xfId="0" applyNumberFormat="1" applyFont="1" applyFill="1" applyBorder="1" applyAlignment="1">
      <alignment horizontal="center"/>
    </xf>
    <xf numFmtId="4" fontId="78" fillId="0" borderId="3" xfId="0" applyNumberFormat="1" applyFont="1" applyFill="1" applyBorder="1" applyAlignment="1">
      <alignment horizontal="center" vertical="center" wrapText="1"/>
    </xf>
    <xf numFmtId="3" fontId="78" fillId="0" borderId="19" xfId="0" applyNumberFormat="1" applyFont="1" applyFill="1" applyBorder="1" applyAlignment="1">
      <alignment horizontal="center"/>
    </xf>
    <xf numFmtId="4" fontId="78" fillId="0" borderId="45" xfId="0" applyNumberFormat="1" applyFont="1" applyFill="1" applyBorder="1" applyAlignment="1">
      <alignment horizontal="center" vertical="center" wrapText="1"/>
    </xf>
    <xf numFmtId="3" fontId="78" fillId="0" borderId="43" xfId="0" applyNumberFormat="1" applyFont="1" applyFill="1" applyBorder="1" applyAlignment="1">
      <alignment horizontal="center" vertical="center" wrapText="1"/>
    </xf>
    <xf numFmtId="4" fontId="78" fillId="0" borderId="43" xfId="0" applyNumberFormat="1" applyFont="1" applyFill="1" applyBorder="1" applyAlignment="1">
      <alignment horizontal="center" vertical="center" wrapText="1"/>
    </xf>
    <xf numFmtId="1" fontId="78" fillId="0" borderId="50" xfId="0" applyNumberFormat="1" applyFont="1" applyFill="1" applyBorder="1" applyAlignment="1">
      <alignment horizontal="center" vertical="center" wrapText="1"/>
    </xf>
    <xf numFmtId="1" fontId="78" fillId="0" borderId="6" xfId="0" applyNumberFormat="1" applyFont="1" applyFill="1" applyBorder="1" applyAlignment="1">
      <alignment horizontal="center" vertical="center" wrapText="1"/>
    </xf>
    <xf numFmtId="1" fontId="78" fillId="0" borderId="7" xfId="0" applyNumberFormat="1" applyFont="1" applyFill="1" applyBorder="1" applyAlignment="1">
      <alignment horizontal="center" vertical="center" wrapText="1"/>
    </xf>
    <xf numFmtId="1" fontId="78" fillId="0" borderId="4" xfId="0" applyNumberFormat="1" applyFont="1" applyFill="1" applyBorder="1" applyAlignment="1">
      <alignment horizontal="center" vertical="center" wrapText="1"/>
    </xf>
    <xf numFmtId="1" fontId="78" fillId="0" borderId="36" xfId="0" applyNumberFormat="1" applyFont="1" applyFill="1" applyBorder="1" applyAlignment="1">
      <alignment horizontal="center" vertical="center" wrapText="1"/>
    </xf>
    <xf numFmtId="1" fontId="78" fillId="0" borderId="31" xfId="0" applyNumberFormat="1" applyFont="1" applyFill="1" applyBorder="1" applyAlignment="1">
      <alignment horizontal="center" vertical="center" wrapText="1"/>
    </xf>
    <xf numFmtId="169" fontId="78" fillId="0" borderId="1" xfId="0" applyNumberFormat="1" applyFont="1" applyFill="1" applyBorder="1" applyAlignment="1">
      <alignment horizontal="center" vertical="center" wrapText="1"/>
    </xf>
    <xf numFmtId="1" fontId="78" fillId="0" borderId="4" xfId="0" applyNumberFormat="1" applyFont="1" applyFill="1" applyBorder="1" applyAlignment="1">
      <alignment horizontal="center" vertical="center"/>
    </xf>
    <xf numFmtId="1" fontId="78" fillId="0" borderId="50" xfId="0" applyNumberFormat="1" applyFont="1" applyFill="1" applyBorder="1" applyAlignment="1">
      <alignment horizontal="center" vertical="center"/>
    </xf>
    <xf numFmtId="4" fontId="78" fillId="0" borderId="50" xfId="0" applyNumberFormat="1" applyFont="1" applyFill="1" applyBorder="1" applyAlignment="1">
      <alignment horizontal="center" vertical="center"/>
    </xf>
    <xf numFmtId="4" fontId="78" fillId="0" borderId="1" xfId="0" applyNumberFormat="1" applyFont="1" applyFill="1" applyBorder="1" applyAlignment="1">
      <alignment horizontal="center" vertical="center"/>
    </xf>
    <xf numFmtId="4" fontId="78" fillId="0" borderId="4" xfId="0" applyNumberFormat="1" applyFont="1" applyFill="1" applyBorder="1" applyAlignment="1">
      <alignment horizontal="center" vertical="center"/>
    </xf>
    <xf numFmtId="4" fontId="78" fillId="0" borderId="2" xfId="0" applyNumberFormat="1" applyFont="1" applyFill="1" applyBorder="1" applyAlignment="1">
      <alignment horizontal="center" vertical="center"/>
    </xf>
    <xf numFmtId="174" fontId="67" fillId="0" borderId="32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4" fontId="67" fillId="0" borderId="39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3" fontId="23" fillId="3" borderId="15" xfId="0" applyNumberFormat="1" applyFont="1" applyFill="1" applyBorder="1" applyAlignment="1">
      <alignment horizontal="center" vertical="center"/>
    </xf>
    <xf numFmtId="3" fontId="23" fillId="3" borderId="52" xfId="0" applyNumberFormat="1" applyFont="1" applyFill="1" applyBorder="1" applyAlignment="1">
      <alignment horizontal="center" vertical="center"/>
    </xf>
    <xf numFmtId="49" fontId="36" fillId="3" borderId="43" xfId="0" applyNumberFormat="1" applyFont="1" applyFill="1" applyBorder="1" applyAlignment="1">
      <alignment vertical="center" wrapText="1"/>
    </xf>
    <xf numFmtId="3" fontId="6" fillId="3" borderId="3" xfId="3" applyNumberFormat="1" applyFont="1" applyFill="1" applyBorder="1" applyAlignment="1">
      <alignment horizontal="center" vertical="center" wrapText="1"/>
    </xf>
    <xf numFmtId="169" fontId="5" fillId="3" borderId="2" xfId="0" applyNumberFormat="1" applyFont="1" applyFill="1" applyBorder="1" applyAlignment="1">
      <alignment horizontal="center" vertical="center" wrapText="1"/>
    </xf>
    <xf numFmtId="16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9" fontId="6" fillId="3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vertical="center"/>
    </xf>
    <xf numFmtId="167" fontId="6" fillId="3" borderId="20" xfId="0" applyNumberFormat="1" applyFont="1" applyFill="1" applyBorder="1" applyAlignment="1">
      <alignment horizontal="center" vertical="center"/>
    </xf>
    <xf numFmtId="167" fontId="6" fillId="3" borderId="0" xfId="0" applyNumberFormat="1" applyFont="1" applyFill="1" applyAlignment="1">
      <alignment horizontal="center" vertical="center"/>
    </xf>
    <xf numFmtId="167" fontId="6" fillId="3" borderId="0" xfId="0" applyNumberFormat="1" applyFont="1" applyFill="1" applyAlignment="1">
      <alignment vertical="center"/>
    </xf>
    <xf numFmtId="3" fontId="6" fillId="3" borderId="12" xfId="3" applyNumberFormat="1" applyFont="1" applyFill="1" applyBorder="1" applyAlignment="1">
      <alignment horizontal="center" vertical="center" wrapText="1"/>
    </xf>
    <xf numFmtId="169" fontId="7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26" fillId="0" borderId="36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0" fontId="60" fillId="0" borderId="49" xfId="0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0" fontId="60" fillId="0" borderId="5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16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174" fontId="7" fillId="0" borderId="3" xfId="0" applyNumberFormat="1" applyFont="1" applyFill="1" applyBorder="1" applyAlignment="1">
      <alignment horizontal="center"/>
    </xf>
    <xf numFmtId="174" fontId="7" fillId="0" borderId="13" xfId="0" applyNumberFormat="1" applyFont="1" applyFill="1" applyBorder="1" applyAlignment="1">
      <alignment horizontal="center"/>
    </xf>
    <xf numFmtId="174" fontId="7" fillId="0" borderId="58" xfId="0" applyNumberFormat="1" applyFont="1" applyFill="1" applyBorder="1" applyAlignment="1">
      <alignment horizontal="center"/>
    </xf>
    <xf numFmtId="174" fontId="7" fillId="0" borderId="59" xfId="0" applyNumberFormat="1" applyFont="1" applyFill="1" applyBorder="1" applyAlignment="1">
      <alignment horizontal="center"/>
    </xf>
    <xf numFmtId="168" fontId="11" fillId="0" borderId="49" xfId="0" applyNumberFormat="1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left" vertical="center" wrapText="1"/>
    </xf>
    <xf numFmtId="169" fontId="6" fillId="0" borderId="3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7" fillId="0" borderId="46" xfId="0" applyFont="1" applyFill="1" applyBorder="1" applyAlignment="1">
      <alignment horizontal="left" vertical="center" wrapText="1"/>
    </xf>
    <xf numFmtId="3" fontId="6" fillId="0" borderId="15" xfId="3" applyNumberFormat="1" applyFont="1" applyFill="1" applyBorder="1" applyAlignment="1">
      <alignment horizontal="center" vertical="center" wrapText="1"/>
    </xf>
    <xf numFmtId="169" fontId="6" fillId="0" borderId="15" xfId="0" applyNumberFormat="1" applyFont="1" applyFill="1" applyBorder="1" applyAlignment="1">
      <alignment horizontal="center" vertical="center" wrapText="1"/>
    </xf>
    <xf numFmtId="169" fontId="6" fillId="0" borderId="15" xfId="0" applyNumberFormat="1" applyFont="1" applyFill="1" applyBorder="1" applyAlignment="1">
      <alignment horizontal="center" vertical="center"/>
    </xf>
    <xf numFmtId="169" fontId="5" fillId="0" borderId="16" xfId="0" applyNumberFormat="1" applyFont="1" applyFill="1" applyBorder="1" applyAlignment="1">
      <alignment horizontal="center" vertical="center" wrapText="1"/>
    </xf>
    <xf numFmtId="169" fontId="7" fillId="0" borderId="15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/>
    </xf>
    <xf numFmtId="1" fontId="6" fillId="0" borderId="53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171" fontId="11" fillId="0" borderId="57" xfId="0" applyNumberFormat="1" applyFont="1" applyFill="1" applyBorder="1" applyAlignment="1">
      <alignment horizontal="center" vertical="center" wrapText="1"/>
    </xf>
    <xf numFmtId="171" fontId="11" fillId="0" borderId="59" xfId="0" applyNumberFormat="1" applyFont="1" applyFill="1" applyBorder="1" applyAlignment="1">
      <alignment horizontal="center" vertical="center" wrapText="1"/>
    </xf>
    <xf numFmtId="3" fontId="32" fillId="0" borderId="19" xfId="0" applyNumberFormat="1" applyFont="1" applyFill="1" applyBorder="1" applyAlignment="1">
      <alignment horizontal="center" vertical="center" wrapText="1"/>
    </xf>
    <xf numFmtId="3" fontId="32" fillId="0" borderId="13" xfId="3" applyNumberFormat="1" applyFont="1" applyFill="1" applyBorder="1" applyAlignment="1">
      <alignment horizontal="center" vertical="center" wrapText="1"/>
    </xf>
    <xf numFmtId="3" fontId="32" fillId="0" borderId="51" xfId="0" applyNumberFormat="1" applyFont="1" applyFill="1" applyBorder="1" applyAlignment="1">
      <alignment horizontal="center" vertical="center" wrapText="1"/>
    </xf>
    <xf numFmtId="3" fontId="28" fillId="0" borderId="16" xfId="0" applyNumberFormat="1" applyFont="1" applyFill="1" applyBorder="1" applyAlignment="1">
      <alignment horizontal="center" vertical="center" wrapText="1"/>
    </xf>
    <xf numFmtId="3" fontId="28" fillId="0" borderId="4" xfId="3" applyNumberFormat="1" applyFont="1" applyFill="1" applyBorder="1" applyAlignment="1">
      <alignment horizontal="center" vertical="center" wrapText="1"/>
    </xf>
    <xf numFmtId="165" fontId="28" fillId="0" borderId="50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3" fontId="26" fillId="0" borderId="36" xfId="0" applyNumberFormat="1" applyFont="1" applyFill="1" applyBorder="1" applyAlignment="1">
      <alignment horizontal="center"/>
    </xf>
    <xf numFmtId="169" fontId="26" fillId="0" borderId="6" xfId="0" applyNumberFormat="1" applyFont="1" applyFill="1" applyBorder="1" applyAlignment="1">
      <alignment horizontal="center"/>
    </xf>
    <xf numFmtId="169" fontId="26" fillId="0" borderId="1" xfId="0" applyNumberFormat="1" applyFont="1" applyFill="1" applyBorder="1" applyAlignment="1">
      <alignment horizontal="center"/>
    </xf>
    <xf numFmtId="169" fontId="26" fillId="0" borderId="4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/>
    </xf>
    <xf numFmtId="4" fontId="26" fillId="0" borderId="7" xfId="0" applyNumberFormat="1" applyFont="1" applyFill="1" applyBorder="1" applyAlignment="1">
      <alignment horizontal="center" vertical="center" wrapText="1"/>
    </xf>
    <xf numFmtId="3" fontId="26" fillId="0" borderId="36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left" vertical="top"/>
    </xf>
    <xf numFmtId="3" fontId="28" fillId="0" borderId="2" xfId="0" applyNumberFormat="1" applyFont="1" applyFill="1" applyBorder="1" applyAlignment="1">
      <alignment horizontal="center" vertical="center" wrapText="1"/>
    </xf>
    <xf numFmtId="14" fontId="83" fillId="0" borderId="35" xfId="0" applyNumberFormat="1" applyFont="1" applyFill="1" applyBorder="1" applyAlignment="1">
      <alignment horizontal="center" vertical="center"/>
    </xf>
    <xf numFmtId="3" fontId="25" fillId="0" borderId="31" xfId="0" applyNumberFormat="1" applyFont="1" applyFill="1" applyBorder="1" applyAlignment="1">
      <alignment horizontal="center" vertical="center"/>
    </xf>
    <xf numFmtId="3" fontId="25" fillId="0" borderId="4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center" vertical="center"/>
    </xf>
    <xf numFmtId="3" fontId="25" fillId="0" borderId="6" xfId="0" applyNumberFormat="1" applyFont="1" applyFill="1" applyBorder="1" applyAlignment="1">
      <alignment horizontal="center" vertical="center"/>
    </xf>
    <xf numFmtId="0" fontId="25" fillId="0" borderId="51" xfId="0" applyFont="1" applyBorder="1" applyAlignment="1">
      <alignment horizontal="left" vertical="center"/>
    </xf>
    <xf numFmtId="3" fontId="25" fillId="0" borderId="3" xfId="0" applyNumberFormat="1" applyFont="1" applyFill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vertical="center"/>
    </xf>
    <xf numFmtId="169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69" fontId="5" fillId="0" borderId="19" xfId="0" applyNumberFormat="1" applyFont="1" applyFill="1" applyBorder="1" applyAlignment="1">
      <alignment horizontal="center" vertical="center" wrapText="1"/>
    </xf>
    <xf numFmtId="169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9" xfId="0" applyNumberFormat="1" applyFont="1" applyFill="1" applyBorder="1" applyAlignment="1">
      <alignment horizontal="center" vertical="center" wrapText="1"/>
    </xf>
    <xf numFmtId="3" fontId="7" fillId="0" borderId="3" xfId="3" applyNumberFormat="1" applyFont="1" applyFill="1" applyBorder="1" applyAlignment="1">
      <alignment horizontal="center" vertical="center" wrapText="1"/>
    </xf>
    <xf numFmtId="1" fontId="110" fillId="0" borderId="43" xfId="0" applyNumberFormat="1" applyFont="1" applyFill="1" applyBorder="1" applyAlignment="1">
      <alignment horizontal="left" vertical="center" wrapText="1"/>
    </xf>
    <xf numFmtId="169" fontId="69" fillId="0" borderId="19" xfId="0" applyNumberFormat="1" applyFont="1" applyFill="1" applyBorder="1" applyAlignment="1">
      <alignment horizontal="center" vertical="center" wrapText="1"/>
    </xf>
    <xf numFmtId="169" fontId="69" fillId="0" borderId="2" xfId="0" applyNumberFormat="1" applyFont="1" applyFill="1" applyBorder="1" applyAlignment="1">
      <alignment horizontal="center" vertical="center" wrapText="1"/>
    </xf>
    <xf numFmtId="169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69" fontId="69" fillId="0" borderId="1" xfId="0" applyNumberFormat="1" applyFont="1" applyFill="1" applyBorder="1" applyAlignment="1">
      <alignment horizontal="center" vertical="center"/>
    </xf>
    <xf numFmtId="169" fontId="74" fillId="0" borderId="1" xfId="0" applyNumberFormat="1" applyFont="1" applyFill="1" applyBorder="1" applyAlignment="1">
      <alignment horizontal="center" vertical="center"/>
    </xf>
    <xf numFmtId="1" fontId="74" fillId="0" borderId="1" xfId="0" applyNumberFormat="1" applyFont="1" applyFill="1" applyBorder="1" applyAlignment="1">
      <alignment horizontal="center" vertical="center"/>
    </xf>
    <xf numFmtId="1" fontId="111" fillId="0" borderId="1" xfId="0" applyNumberFormat="1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 wrapText="1"/>
    </xf>
    <xf numFmtId="2" fontId="69" fillId="0" borderId="1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 vertical="center"/>
    </xf>
    <xf numFmtId="1" fontId="69" fillId="0" borderId="6" xfId="0" applyNumberFormat="1" applyFont="1" applyFill="1" applyBorder="1" applyAlignment="1">
      <alignment horizontal="center"/>
    </xf>
    <xf numFmtId="4" fontId="69" fillId="0" borderId="1" xfId="0" applyNumberFormat="1" applyFont="1" applyFill="1" applyBorder="1" applyAlignment="1">
      <alignment horizontal="center"/>
    </xf>
    <xf numFmtId="169" fontId="69" fillId="0" borderId="1" xfId="0" applyNumberFormat="1" applyFont="1" applyFill="1" applyBorder="1" applyAlignment="1">
      <alignment horizontal="center"/>
    </xf>
    <xf numFmtId="1" fontId="69" fillId="0" borderId="3" xfId="0" applyNumberFormat="1" applyFont="1" applyFill="1" applyBorder="1" applyAlignment="1">
      <alignment horizontal="center"/>
    </xf>
    <xf numFmtId="167" fontId="74" fillId="0" borderId="20" xfId="0" applyNumberFormat="1" applyFont="1" applyFill="1" applyBorder="1" applyAlignment="1">
      <alignment horizontal="center"/>
    </xf>
    <xf numFmtId="167" fontId="74" fillId="0" borderId="0" xfId="0" applyNumberFormat="1" applyFont="1" applyFill="1" applyAlignment="1">
      <alignment horizontal="center"/>
    </xf>
    <xf numFmtId="167" fontId="74" fillId="0" borderId="0" xfId="0" applyNumberFormat="1" applyFont="1" applyFill="1"/>
    <xf numFmtId="49" fontId="112" fillId="0" borderId="43" xfId="0" applyNumberFormat="1" applyFont="1" applyFill="1" applyBorder="1" applyAlignment="1">
      <alignment vertical="center" wrapText="1"/>
    </xf>
    <xf numFmtId="3" fontId="69" fillId="0" borderId="19" xfId="0" applyNumberFormat="1" applyFont="1" applyFill="1" applyBorder="1" applyAlignment="1">
      <alignment horizontal="center" vertical="center" wrapText="1"/>
    </xf>
    <xf numFmtId="3" fontId="69" fillId="0" borderId="3" xfId="3" applyNumberFormat="1" applyFont="1" applyFill="1" applyBorder="1" applyAlignment="1">
      <alignment horizontal="center" vertical="center" wrapText="1"/>
    </xf>
    <xf numFmtId="169" fontId="69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69" fillId="0" borderId="1" xfId="0" applyNumberFormat="1" applyFont="1" applyFill="1" applyBorder="1" applyAlignment="1">
      <alignment horizontal="center" vertical="center"/>
    </xf>
    <xf numFmtId="4" fontId="69" fillId="0" borderId="1" xfId="0" applyNumberFormat="1" applyFont="1" applyFill="1" applyBorder="1" applyAlignment="1">
      <alignment horizontal="center" vertical="center"/>
    </xf>
    <xf numFmtId="1" fontId="69" fillId="0" borderId="6" xfId="0" applyNumberFormat="1" applyFont="1" applyFill="1" applyBorder="1" applyAlignment="1">
      <alignment horizontal="center" vertical="center"/>
    </xf>
    <xf numFmtId="1" fontId="69" fillId="0" borderId="3" xfId="0" applyNumberFormat="1" applyFont="1" applyFill="1" applyBorder="1" applyAlignment="1">
      <alignment horizontal="center" vertical="center"/>
    </xf>
    <xf numFmtId="167" fontId="69" fillId="0" borderId="20" xfId="0" applyNumberFormat="1" applyFont="1" applyFill="1" applyBorder="1" applyAlignment="1">
      <alignment horizontal="center" vertical="center"/>
    </xf>
    <xf numFmtId="167" fontId="69" fillId="0" borderId="0" xfId="0" applyNumberFormat="1" applyFont="1" applyFill="1" applyAlignment="1">
      <alignment horizontal="center" vertical="center"/>
    </xf>
    <xf numFmtId="167" fontId="69" fillId="0" borderId="0" xfId="0" applyNumberFormat="1" applyFont="1" applyFill="1" applyAlignment="1">
      <alignment vertical="center"/>
    </xf>
    <xf numFmtId="49" fontId="112" fillId="0" borderId="35" xfId="0" applyNumberFormat="1" applyFont="1" applyFill="1" applyBorder="1" applyAlignment="1">
      <alignment vertical="center" wrapText="1"/>
    </xf>
    <xf numFmtId="3" fontId="69" fillId="0" borderId="16" xfId="0" applyNumberFormat="1" applyFont="1" applyFill="1" applyBorder="1" applyAlignment="1">
      <alignment horizontal="center" vertical="center" wrapText="1"/>
    </xf>
    <xf numFmtId="3" fontId="69" fillId="0" borderId="1" xfId="3" applyNumberFormat="1" applyFont="1" applyFill="1" applyBorder="1" applyAlignment="1">
      <alignment horizontal="center" vertical="center" wrapText="1"/>
    </xf>
    <xf numFmtId="1" fontId="69" fillId="0" borderId="46" xfId="0" applyNumberFormat="1" applyFont="1" applyFill="1" applyBorder="1" applyAlignment="1">
      <alignment horizontal="left" vertical="center" wrapText="1"/>
    </xf>
    <xf numFmtId="3" fontId="69" fillId="0" borderId="12" xfId="0" applyNumberFormat="1" applyFont="1" applyFill="1" applyBorder="1" applyAlignment="1">
      <alignment horizontal="center" vertical="center" wrapText="1"/>
    </xf>
    <xf numFmtId="169" fontId="69" fillId="0" borderId="3" xfId="0" applyNumberFormat="1" applyFont="1" applyFill="1" applyBorder="1" applyAlignment="1">
      <alignment horizontal="center" vertical="center"/>
    </xf>
    <xf numFmtId="3" fontId="110" fillId="0" borderId="19" xfId="0" applyNumberFormat="1" applyFont="1" applyFill="1" applyBorder="1" applyAlignment="1">
      <alignment horizontal="center" vertical="center" wrapText="1"/>
    </xf>
    <xf numFmtId="3" fontId="110" fillId="0" borderId="3" xfId="3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/>
    <xf numFmtId="169" fontId="26" fillId="0" borderId="31" xfId="0" applyNumberFormat="1" applyFont="1" applyFill="1" applyBorder="1" applyAlignment="1">
      <alignment horizontal="center" vertical="center" wrapText="1"/>
    </xf>
    <xf numFmtId="168" fontId="11" fillId="0" borderId="64" xfId="0" applyNumberFormat="1" applyFont="1" applyFill="1" applyBorder="1" applyAlignment="1">
      <alignment horizontal="center" vertical="center" wrapText="1"/>
    </xf>
    <xf numFmtId="1" fontId="78" fillId="0" borderId="19" xfId="0" applyNumberFormat="1" applyFont="1" applyFill="1" applyBorder="1" applyAlignment="1">
      <alignment horizontal="center" vertical="center" wrapText="1"/>
    </xf>
    <xf numFmtId="1" fontId="26" fillId="3" borderId="19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36" fillId="0" borderId="15" xfId="0" applyNumberFormat="1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3" fontId="36" fillId="0" borderId="0" xfId="0" applyNumberFormat="1" applyFont="1" applyAlignment="1">
      <alignment vertical="center"/>
    </xf>
    <xf numFmtId="0" fontId="36" fillId="0" borderId="3" xfId="0" applyFont="1" applyBorder="1" applyAlignment="1">
      <alignment horizontal="justify" vertical="center"/>
    </xf>
    <xf numFmtId="3" fontId="36" fillId="0" borderId="13" xfId="0" applyNumberFormat="1" applyFont="1" applyBorder="1" applyAlignment="1">
      <alignment horizontal="center" vertical="center"/>
    </xf>
    <xf numFmtId="0" fontId="36" fillId="0" borderId="15" xfId="0" applyFont="1" applyBorder="1" applyAlignment="1">
      <alignment horizontal="justify" vertical="center"/>
    </xf>
    <xf numFmtId="0" fontId="36" fillId="0" borderId="68" xfId="0" applyFont="1" applyBorder="1" applyAlignment="1">
      <alignment horizontal="center" vertical="center"/>
    </xf>
    <xf numFmtId="3" fontId="36" fillId="0" borderId="56" xfId="0" applyNumberFormat="1" applyFont="1" applyBorder="1" applyAlignment="1">
      <alignment horizontal="center" vertical="center"/>
    </xf>
    <xf numFmtId="3" fontId="36" fillId="0" borderId="52" xfId="0" applyNumberFormat="1" applyFont="1" applyBorder="1" applyAlignment="1">
      <alignment horizontal="center" vertical="center"/>
    </xf>
    <xf numFmtId="3" fontId="37" fillId="0" borderId="55" xfId="0" applyNumberFormat="1" applyFont="1" applyBorder="1" applyAlignment="1">
      <alignment horizontal="center" vertical="center"/>
    </xf>
    <xf numFmtId="3" fontId="37" fillId="0" borderId="23" xfId="0" applyNumberFormat="1" applyFont="1" applyBorder="1" applyAlignment="1">
      <alignment horizontal="center" vertical="center"/>
    </xf>
    <xf numFmtId="3" fontId="37" fillId="0" borderId="26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justify" vertical="center"/>
    </xf>
    <xf numFmtId="0" fontId="36" fillId="0" borderId="6" xfId="0" applyFont="1" applyBorder="1" applyAlignment="1">
      <alignment horizontal="center" vertical="center"/>
    </xf>
    <xf numFmtId="3" fontId="36" fillId="0" borderId="4" xfId="0" applyNumberFormat="1" applyFont="1" applyBorder="1" applyAlignment="1">
      <alignment horizontal="center" vertical="center"/>
    </xf>
    <xf numFmtId="0" fontId="61" fillId="0" borderId="69" xfId="4" applyFont="1" applyBorder="1" applyAlignment="1">
      <alignment horizontal="center" vertical="center" textRotation="90"/>
    </xf>
    <xf numFmtId="0" fontId="61" fillId="0" borderId="8" xfId="4" applyFont="1" applyBorder="1" applyAlignment="1">
      <alignment horizontal="center" vertical="center" textRotation="90"/>
    </xf>
    <xf numFmtId="0" fontId="61" fillId="0" borderId="14" xfId="4" applyFont="1" applyBorder="1" applyAlignment="1">
      <alignment horizontal="center" vertical="center" textRotation="90"/>
    </xf>
    <xf numFmtId="3" fontId="36" fillId="0" borderId="26" xfId="0" applyNumberFormat="1" applyFont="1" applyBorder="1" applyAlignment="1">
      <alignment horizontal="center" vertical="center"/>
    </xf>
    <xf numFmtId="3" fontId="36" fillId="0" borderId="19" xfId="0" applyNumberFormat="1" applyFont="1" applyBorder="1" applyAlignment="1">
      <alignment horizontal="left" vertical="center"/>
    </xf>
    <xf numFmtId="4" fontId="37" fillId="0" borderId="20" xfId="0" applyNumberFormat="1" applyFont="1" applyBorder="1" applyAlignment="1">
      <alignment vertical="center"/>
    </xf>
    <xf numFmtId="3" fontId="37" fillId="0" borderId="19" xfId="0" applyNumberFormat="1" applyFont="1" applyBorder="1" applyAlignment="1">
      <alignment horizontal="left" vertical="center"/>
    </xf>
    <xf numFmtId="0" fontId="36" fillId="0" borderId="21" xfId="0" applyFont="1" applyBorder="1" applyAlignment="1">
      <alignment horizontal="center" vertical="center"/>
    </xf>
    <xf numFmtId="0" fontId="36" fillId="0" borderId="19" xfId="0" applyFont="1" applyBorder="1" applyAlignment="1">
      <alignment vertical="center"/>
    </xf>
    <xf numFmtId="3" fontId="43" fillId="0" borderId="42" xfId="0" applyNumberFormat="1" applyFont="1" applyFill="1" applyBorder="1"/>
    <xf numFmtId="3" fontId="43" fillId="0" borderId="43" xfId="0" applyNumberFormat="1" applyFont="1" applyFill="1" applyBorder="1"/>
    <xf numFmtId="3" fontId="43" fillId="0" borderId="44" xfId="0" applyNumberFormat="1" applyFont="1" applyFill="1" applyBorder="1"/>
    <xf numFmtId="3" fontId="43" fillId="0" borderId="48" xfId="0" applyNumberFormat="1" applyFont="1" applyFill="1" applyBorder="1" applyAlignment="1">
      <alignment vertical="center"/>
    </xf>
    <xf numFmtId="3" fontId="52" fillId="0" borderId="42" xfId="0" applyNumberFormat="1" applyFont="1" applyFill="1" applyBorder="1"/>
    <xf numFmtId="0" fontId="114" fillId="0" borderId="48" xfId="0" applyFont="1" applyBorder="1" applyAlignment="1">
      <alignment horizontal="center" vertical="center" wrapText="1"/>
    </xf>
    <xf numFmtId="4" fontId="115" fillId="0" borderId="35" xfId="0" applyNumberFormat="1" applyFont="1" applyBorder="1"/>
    <xf numFmtId="3" fontId="115" fillId="0" borderId="42" xfId="0" applyNumberFormat="1" applyFont="1" applyBorder="1"/>
    <xf numFmtId="3" fontId="115" fillId="0" borderId="43" xfId="0" applyNumberFormat="1" applyFont="1" applyBorder="1"/>
    <xf numFmtId="3" fontId="115" fillId="0" borderId="44" xfId="0" applyNumberFormat="1" applyFont="1" applyBorder="1"/>
    <xf numFmtId="3" fontId="115" fillId="0" borderId="48" xfId="0" applyNumberFormat="1" applyFont="1" applyBorder="1" applyAlignment="1">
      <alignment vertical="center"/>
    </xf>
    <xf numFmtId="0" fontId="114" fillId="0" borderId="0" xfId="0" applyFont="1"/>
    <xf numFmtId="0" fontId="114" fillId="0" borderId="0" xfId="0" applyFont="1" applyAlignment="1">
      <alignment vertical="center"/>
    </xf>
    <xf numFmtId="0" fontId="114" fillId="0" borderId="64" xfId="0" applyFont="1" applyBorder="1" applyAlignment="1">
      <alignment horizontal="center" vertical="center" wrapText="1"/>
    </xf>
    <xf numFmtId="4" fontId="115" fillId="0" borderId="30" xfId="0" applyNumberFormat="1" applyFont="1" applyBorder="1"/>
    <xf numFmtId="3" fontId="115" fillId="0" borderId="49" xfId="0" applyNumberFormat="1" applyFont="1" applyBorder="1"/>
    <xf numFmtId="3" fontId="115" fillId="0" borderId="11" xfId="0" applyNumberFormat="1" applyFont="1" applyBorder="1"/>
    <xf numFmtId="3" fontId="115" fillId="0" borderId="75" xfId="0" applyNumberFormat="1" applyFont="1" applyBorder="1"/>
    <xf numFmtId="3" fontId="115" fillId="0" borderId="64" xfId="0" applyNumberFormat="1" applyFont="1" applyBorder="1" applyAlignment="1">
      <alignment vertical="center"/>
    </xf>
    <xf numFmtId="3" fontId="43" fillId="0" borderId="49" xfId="0" applyNumberFormat="1" applyFont="1" applyFill="1" applyBorder="1"/>
    <xf numFmtId="3" fontId="43" fillId="0" borderId="11" xfId="0" applyNumberFormat="1" applyFont="1" applyFill="1" applyBorder="1"/>
    <xf numFmtId="3" fontId="43" fillId="0" borderId="75" xfId="0" applyNumberFormat="1" applyFont="1" applyFill="1" applyBorder="1"/>
    <xf numFmtId="3" fontId="43" fillId="0" borderId="64" xfId="0" applyNumberFormat="1" applyFont="1" applyFill="1" applyBorder="1" applyAlignment="1">
      <alignment vertical="center"/>
    </xf>
    <xf numFmtId="3" fontId="52" fillId="0" borderId="49" xfId="0" applyNumberFormat="1" applyFont="1" applyFill="1" applyBorder="1"/>
    <xf numFmtId="3" fontId="42" fillId="0" borderId="26" xfId="0" applyNumberFormat="1" applyFont="1" applyBorder="1"/>
    <xf numFmtId="3" fontId="42" fillId="0" borderId="13" xfId="0" applyNumberFormat="1" applyFont="1" applyBorder="1"/>
    <xf numFmtId="3" fontId="42" fillId="0" borderId="14" xfId="0" applyNumberFormat="1" applyFont="1" applyBorder="1"/>
    <xf numFmtId="3" fontId="43" fillId="0" borderId="59" xfId="0" applyNumberFormat="1" applyFont="1" applyBorder="1" applyAlignment="1">
      <alignment vertical="center"/>
    </xf>
    <xf numFmtId="3" fontId="60" fillId="0" borderId="26" xfId="0" applyNumberFormat="1" applyFont="1" applyBorder="1"/>
    <xf numFmtId="0" fontId="42" fillId="0" borderId="63" xfId="0" applyFont="1" applyBorder="1" applyAlignment="1">
      <alignment horizontal="center" vertical="center" wrapText="1"/>
    </xf>
    <xf numFmtId="4" fontId="43" fillId="0" borderId="53" xfId="0" applyNumberFormat="1" applyFont="1" applyBorder="1"/>
    <xf numFmtId="3" fontId="42" fillId="0" borderId="25" xfId="0" applyNumberFormat="1" applyFont="1" applyBorder="1"/>
    <xf numFmtId="3" fontId="42" fillId="0" borderId="20" xfId="0" applyNumberFormat="1" applyFont="1" applyBorder="1"/>
    <xf numFmtId="3" fontId="42" fillId="0" borderId="10" xfId="0" applyNumberFormat="1" applyFont="1" applyBorder="1"/>
    <xf numFmtId="3" fontId="43" fillId="0" borderId="63" xfId="0" applyNumberFormat="1" applyFont="1" applyBorder="1" applyAlignment="1">
      <alignment vertical="center"/>
    </xf>
    <xf numFmtId="3" fontId="60" fillId="0" borderId="25" xfId="0" applyNumberFormat="1" applyFont="1" applyBorder="1"/>
    <xf numFmtId="0" fontId="114" fillId="0" borderId="63" xfId="0" applyFont="1" applyBorder="1" applyAlignment="1">
      <alignment horizontal="center" vertical="center" wrapText="1"/>
    </xf>
    <xf numFmtId="4" fontId="115" fillId="0" borderId="53" xfId="0" applyNumberFormat="1" applyFont="1" applyBorder="1"/>
    <xf numFmtId="3" fontId="114" fillId="0" borderId="25" xfId="0" applyNumberFormat="1" applyFont="1" applyBorder="1"/>
    <xf numFmtId="3" fontId="114" fillId="0" borderId="20" xfId="0" applyNumberFormat="1" applyFont="1" applyBorder="1"/>
    <xf numFmtId="3" fontId="114" fillId="0" borderId="10" xfId="0" applyNumberFormat="1" applyFont="1" applyBorder="1"/>
    <xf numFmtId="3" fontId="115" fillId="0" borderId="63" xfId="0" applyNumberFormat="1" applyFont="1" applyBorder="1" applyAlignment="1">
      <alignment vertical="center"/>
    </xf>
    <xf numFmtId="0" fontId="116" fillId="0" borderId="59" xfId="0" applyFont="1" applyBorder="1" applyAlignment="1">
      <alignment horizontal="center" vertical="center" wrapText="1"/>
    </xf>
    <xf numFmtId="4" fontId="117" fillId="0" borderId="18" xfId="0" applyNumberFormat="1" applyFont="1" applyBorder="1"/>
    <xf numFmtId="3" fontId="117" fillId="0" borderId="26" xfId="0" applyNumberFormat="1" applyFont="1" applyBorder="1"/>
    <xf numFmtId="3" fontId="117" fillId="0" borderId="13" xfId="0" applyNumberFormat="1" applyFont="1" applyBorder="1"/>
    <xf numFmtId="3" fontId="117" fillId="0" borderId="14" xfId="0" applyNumberFormat="1" applyFont="1" applyBorder="1"/>
    <xf numFmtId="3" fontId="117" fillId="0" borderId="59" xfId="0" applyNumberFormat="1" applyFont="1" applyBorder="1" applyAlignment="1">
      <alignment vertical="center"/>
    </xf>
    <xf numFmtId="0" fontId="41" fillId="0" borderId="17" xfId="0" applyFont="1" applyFill="1" applyBorder="1"/>
    <xf numFmtId="0" fontId="41" fillId="0" borderId="53" xfId="0" applyFont="1" applyFill="1" applyBorder="1"/>
    <xf numFmtId="0" fontId="41" fillId="0" borderId="23" xfId="0" applyFont="1" applyFill="1" applyBorder="1"/>
    <xf numFmtId="0" fontId="41" fillId="0" borderId="25" xfId="0" applyFont="1" applyFill="1" applyBorder="1"/>
    <xf numFmtId="0" fontId="41" fillId="0" borderId="3" xfId="0" applyFont="1" applyFill="1" applyBorder="1"/>
    <xf numFmtId="0" fontId="41" fillId="0" borderId="20" xfId="0" applyFont="1" applyFill="1" applyBorder="1"/>
    <xf numFmtId="0" fontId="41" fillId="0" borderId="8" xfId="0" applyFont="1" applyFill="1" applyBorder="1"/>
    <xf numFmtId="0" fontId="41" fillId="0" borderId="10" xfId="0" applyFont="1" applyFill="1" applyBorder="1"/>
    <xf numFmtId="0" fontId="41" fillId="0" borderId="58" xfId="0" applyFont="1" applyFill="1" applyBorder="1" applyAlignment="1">
      <alignment vertical="center"/>
    </xf>
    <xf numFmtId="0" fontId="41" fillId="0" borderId="63" xfId="0" applyFont="1" applyFill="1" applyBorder="1" applyAlignment="1">
      <alignment vertical="center"/>
    </xf>
    <xf numFmtId="0" fontId="41" fillId="0" borderId="0" xfId="0" applyFont="1" applyFill="1"/>
    <xf numFmtId="0" fontId="46" fillId="0" borderId="0" xfId="0" applyFont="1" applyFill="1"/>
    <xf numFmtId="0" fontId="46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8" fillId="0" borderId="0" xfId="0" applyFont="1" applyFill="1"/>
    <xf numFmtId="0" fontId="38" fillId="0" borderId="0" xfId="0" applyFont="1" applyFill="1"/>
    <xf numFmtId="4" fontId="39" fillId="0" borderId="0" xfId="0" applyNumberFormat="1" applyFont="1" applyFill="1" applyAlignment="1">
      <alignment vertical="center"/>
    </xf>
    <xf numFmtId="4" fontId="38" fillId="0" borderId="0" xfId="0" applyNumberFormat="1" applyFont="1" applyFill="1" applyAlignment="1">
      <alignment vertical="center"/>
    </xf>
    <xf numFmtId="176" fontId="49" fillId="0" borderId="22" xfId="0" applyNumberFormat="1" applyFont="1" applyFill="1" applyBorder="1"/>
    <xf numFmtId="0" fontId="41" fillId="0" borderId="55" xfId="0" applyFont="1" applyFill="1" applyBorder="1"/>
    <xf numFmtId="176" fontId="49" fillId="0" borderId="19" xfId="0" applyNumberFormat="1" applyFont="1" applyFill="1" applyBorder="1"/>
    <xf numFmtId="0" fontId="41" fillId="0" borderId="51" xfId="0" applyFont="1" applyFill="1" applyBorder="1"/>
    <xf numFmtId="176" fontId="49" fillId="0" borderId="9" xfId="0" applyNumberFormat="1" applyFont="1" applyFill="1" applyBorder="1"/>
    <xf numFmtId="0" fontId="41" fillId="0" borderId="69" xfId="0" applyFont="1" applyFill="1" applyBorder="1"/>
    <xf numFmtId="0" fontId="44" fillId="0" borderId="57" xfId="0" applyFont="1" applyBorder="1" applyAlignment="1">
      <alignment horizontal="center" vertical="top" wrapText="1"/>
    </xf>
    <xf numFmtId="0" fontId="44" fillId="0" borderId="58" xfId="0" applyFont="1" applyBorder="1" applyAlignment="1">
      <alignment horizontal="center" vertical="top" wrapText="1"/>
    </xf>
    <xf numFmtId="0" fontId="44" fillId="0" borderId="58" xfId="0" applyFont="1" applyFill="1" applyBorder="1" applyAlignment="1">
      <alignment horizontal="center" vertical="top" wrapText="1"/>
    </xf>
    <xf numFmtId="0" fontId="44" fillId="0" borderId="63" xfId="0" applyFont="1" applyFill="1" applyBorder="1" applyAlignment="1">
      <alignment horizontal="center" vertical="top" wrapText="1"/>
    </xf>
    <xf numFmtId="176" fontId="42" fillId="0" borderId="62" xfId="0" applyNumberFormat="1" applyFont="1" applyFill="1" applyBorder="1" applyAlignment="1">
      <alignment horizontal="center" vertical="center" wrapText="1"/>
    </xf>
    <xf numFmtId="176" fontId="43" fillId="0" borderId="16" xfId="0" applyNumberFormat="1" applyFont="1" applyFill="1" applyBorder="1"/>
    <xf numFmtId="172" fontId="42" fillId="0" borderId="62" xfId="0" applyNumberFormat="1" applyFont="1" applyFill="1" applyBorder="1" applyAlignment="1">
      <alignment vertical="center"/>
    </xf>
    <xf numFmtId="172" fontId="43" fillId="0" borderId="62" xfId="0" applyNumberFormat="1" applyFont="1" applyFill="1" applyBorder="1" applyAlignment="1">
      <alignment vertical="center"/>
    </xf>
    <xf numFmtId="176" fontId="42" fillId="0" borderId="0" xfId="0" applyNumberFormat="1" applyFont="1" applyFill="1"/>
    <xf numFmtId="176" fontId="42" fillId="0" borderId="0" xfId="0" applyNumberFormat="1" applyFont="1" applyFill="1" applyAlignment="1">
      <alignment vertical="center"/>
    </xf>
    <xf numFmtId="175" fontId="92" fillId="0" borderId="71" xfId="0" applyNumberFormat="1" applyFont="1" applyBorder="1"/>
    <xf numFmtId="172" fontId="42" fillId="0" borderId="48" xfId="0" applyNumberFormat="1" applyFont="1" applyBorder="1" applyAlignment="1">
      <alignment vertical="center"/>
    </xf>
    <xf numFmtId="172" fontId="43" fillId="0" borderId="48" xfId="0" applyNumberFormat="1" applyFont="1" applyBorder="1" applyAlignment="1">
      <alignment vertical="center"/>
    </xf>
    <xf numFmtId="49" fontId="118" fillId="0" borderId="0" xfId="0" applyNumberFormat="1" applyFont="1" applyFill="1" applyAlignment="1">
      <alignment vertical="justify" wrapText="1"/>
    </xf>
    <xf numFmtId="0" fontId="119" fillId="0" borderId="0" xfId="0" applyFont="1" applyFill="1"/>
    <xf numFmtId="0" fontId="118" fillId="0" borderId="0" xfId="0" applyFont="1" applyFill="1"/>
    <xf numFmtId="171" fontId="119" fillId="0" borderId="0" xfId="0" applyNumberFormat="1" applyFont="1" applyFill="1"/>
    <xf numFmtId="174" fontId="119" fillId="0" borderId="0" xfId="0" applyNumberFormat="1" applyFont="1" applyFill="1"/>
    <xf numFmtId="4" fontId="119" fillId="0" borderId="0" xfId="0" applyNumberFormat="1" applyFont="1" applyFill="1"/>
    <xf numFmtId="4" fontId="119" fillId="0" borderId="0" xfId="0" applyNumberFormat="1" applyFont="1" applyFill="1" applyAlignment="1">
      <alignment horizontal="right" vertical="center"/>
    </xf>
    <xf numFmtId="4" fontId="119" fillId="0" borderId="0" xfId="0" applyNumberFormat="1" applyFont="1" applyAlignment="1">
      <alignment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center" vertical="center"/>
    </xf>
    <xf numFmtId="0" fontId="119" fillId="0" borderId="0" xfId="0" applyFont="1"/>
    <xf numFmtId="49" fontId="104" fillId="0" borderId="0" xfId="0" applyNumberFormat="1" applyFont="1" applyFill="1" applyAlignment="1">
      <alignment vertical="justify" wrapText="1"/>
    </xf>
    <xf numFmtId="0" fontId="103" fillId="0" borderId="0" xfId="0" applyFont="1" applyFill="1"/>
    <xf numFmtId="0" fontId="104" fillId="0" borderId="0" xfId="0" applyFont="1" applyFill="1"/>
    <xf numFmtId="171" fontId="103" fillId="0" borderId="0" xfId="0" applyNumberFormat="1" applyFont="1" applyFill="1"/>
    <xf numFmtId="0" fontId="104" fillId="0" borderId="0" xfId="0" applyFont="1" applyFill="1" applyAlignment="1">
      <alignment horizontal="left"/>
    </xf>
    <xf numFmtId="174" fontId="104" fillId="0" borderId="0" xfId="0" applyNumberFormat="1" applyFont="1" applyFill="1" applyAlignment="1">
      <alignment horizontal="left"/>
    </xf>
    <xf numFmtId="174" fontId="103" fillId="0" borderId="0" xfId="0" applyNumberFormat="1" applyFont="1" applyFill="1"/>
    <xf numFmtId="4" fontId="103" fillId="0" borderId="0" xfId="0" applyNumberFormat="1" applyFont="1" applyFill="1"/>
    <xf numFmtId="4" fontId="103" fillId="0" borderId="0" xfId="0" applyNumberFormat="1" applyFont="1" applyFill="1" applyAlignment="1">
      <alignment horizontal="right" vertical="center"/>
    </xf>
    <xf numFmtId="4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3" fillId="0" borderId="0" xfId="0" applyFont="1" applyAlignment="1">
      <alignment horizontal="center" vertical="center"/>
    </xf>
    <xf numFmtId="0" fontId="103" fillId="0" borderId="0" xfId="0" applyFont="1"/>
    <xf numFmtId="0" fontId="118" fillId="0" borderId="0" xfId="0" applyFont="1" applyFill="1" applyAlignment="1">
      <alignment horizontal="center" vertical="center"/>
    </xf>
    <xf numFmtId="4" fontId="52" fillId="0" borderId="0" xfId="0" applyNumberFormat="1" applyFont="1" applyFill="1" applyAlignment="1">
      <alignment vertical="center"/>
    </xf>
    <xf numFmtId="4" fontId="52" fillId="0" borderId="0" xfId="0" applyNumberFormat="1" applyFont="1" applyFill="1" applyAlignment="1">
      <alignment horizontal="right"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60" fillId="0" borderId="0" xfId="0" applyFont="1" applyAlignment="1">
      <alignment vertical="center"/>
    </xf>
    <xf numFmtId="0" fontId="120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horizontal="center"/>
    </xf>
    <xf numFmtId="4" fontId="60" fillId="0" borderId="0" xfId="0" applyNumberFormat="1" applyFont="1" applyFill="1" applyAlignment="1">
      <alignment horizontal="center"/>
    </xf>
    <xf numFmtId="4" fontId="60" fillId="0" borderId="0" xfId="0" applyNumberFormat="1" applyFont="1" applyFill="1" applyAlignment="1">
      <alignment horizontal="right" vertical="center"/>
    </xf>
    <xf numFmtId="4" fontId="60" fillId="0" borderId="0" xfId="0" applyNumberFormat="1" applyFont="1" applyAlignment="1">
      <alignment vertical="center"/>
    </xf>
    <xf numFmtId="0" fontId="60" fillId="0" borderId="0" xfId="0" applyFont="1" applyAlignment="1">
      <alignment horizontal="center" vertical="center"/>
    </xf>
    <xf numFmtId="4" fontId="60" fillId="0" borderId="0" xfId="0" applyNumberFormat="1" applyFont="1" applyFill="1" applyBorder="1" applyAlignment="1">
      <alignment horizontal="right" vertical="center" wrapText="1"/>
    </xf>
    <xf numFmtId="4" fontId="60" fillId="0" borderId="3" xfId="0" applyNumberFormat="1" applyFont="1" applyBorder="1" applyAlignment="1">
      <alignment vertical="center"/>
    </xf>
    <xf numFmtId="0" fontId="60" fillId="0" borderId="3" xfId="0" applyFont="1" applyBorder="1" applyAlignment="1">
      <alignment vertical="center"/>
    </xf>
    <xf numFmtId="0" fontId="60" fillId="0" borderId="69" xfId="0" applyFont="1" applyFill="1" applyBorder="1" applyAlignment="1">
      <alignment horizontal="center" vertical="center" textRotation="90" wrapText="1"/>
    </xf>
    <xf numFmtId="0" fontId="60" fillId="0" borderId="8" xfId="0" applyFont="1" applyFill="1" applyBorder="1" applyAlignment="1">
      <alignment horizontal="center" vertical="center" textRotation="90" wrapText="1"/>
    </xf>
    <xf numFmtId="4" fontId="60" fillId="0" borderId="3" xfId="0" applyNumberFormat="1" applyFont="1" applyBorder="1" applyAlignment="1">
      <alignment horizontal="center" vertical="center"/>
    </xf>
    <xf numFmtId="0" fontId="123" fillId="0" borderId="49" xfId="0" applyNumberFormat="1" applyFont="1" applyFill="1" applyBorder="1" applyAlignment="1">
      <alignment horizontal="center" vertical="center" wrapText="1"/>
    </xf>
    <xf numFmtId="4" fontId="60" fillId="0" borderId="42" xfId="0" applyNumberFormat="1" applyFont="1" applyFill="1" applyBorder="1" applyAlignment="1">
      <alignment horizontal="center" vertical="center"/>
    </xf>
    <xf numFmtId="3" fontId="60" fillId="0" borderId="42" xfId="0" applyNumberFormat="1" applyFont="1" applyFill="1" applyBorder="1" applyAlignment="1">
      <alignment horizontal="center" vertical="center"/>
    </xf>
    <xf numFmtId="3" fontId="52" fillId="0" borderId="42" xfId="0" applyNumberFormat="1" applyFont="1" applyFill="1" applyBorder="1" applyAlignment="1">
      <alignment horizontal="center" vertical="center"/>
    </xf>
    <xf numFmtId="3" fontId="52" fillId="0" borderId="49" xfId="0" applyNumberFormat="1" applyFont="1" applyFill="1" applyBorder="1" applyAlignment="1">
      <alignment horizontal="center" vertical="center"/>
    </xf>
    <xf numFmtId="3" fontId="52" fillId="0" borderId="26" xfId="0" applyNumberFormat="1" applyFont="1" applyFill="1" applyBorder="1" applyAlignment="1">
      <alignment horizontal="center" vertical="center"/>
    </xf>
    <xf numFmtId="171" fontId="60" fillId="0" borderId="42" xfId="0" applyNumberFormat="1" applyFont="1" applyFill="1" applyBorder="1" applyAlignment="1">
      <alignment horizontal="center" vertical="center"/>
    </xf>
    <xf numFmtId="0" fontId="60" fillId="0" borderId="55" xfId="0" applyNumberFormat="1" applyFont="1" applyFill="1" applyBorder="1" applyAlignment="1">
      <alignment horizontal="center" vertical="center"/>
    </xf>
    <xf numFmtId="0" fontId="60" fillId="0" borderId="23" xfId="0" applyNumberFormat="1" applyFont="1" applyFill="1" applyBorder="1" applyAlignment="1">
      <alignment horizontal="center" vertical="center"/>
    </xf>
    <xf numFmtId="0" fontId="60" fillId="0" borderId="26" xfId="0" applyNumberFormat="1" applyFont="1" applyFill="1" applyBorder="1" applyAlignment="1">
      <alignment horizontal="center" vertical="center"/>
    </xf>
    <xf numFmtId="0" fontId="60" fillId="0" borderId="25" xfId="0" applyNumberFormat="1" applyFont="1" applyFill="1" applyBorder="1" applyAlignment="1">
      <alignment horizontal="center" vertical="center"/>
    </xf>
    <xf numFmtId="0" fontId="60" fillId="0" borderId="26" xfId="0" applyNumberFormat="1" applyFont="1" applyFill="1" applyBorder="1" applyAlignment="1">
      <alignment horizontal="center" vertical="top"/>
    </xf>
    <xf numFmtId="4" fontId="60" fillId="0" borderId="0" xfId="0" applyNumberFormat="1" applyFont="1" applyFill="1" applyAlignment="1">
      <alignment horizontal="center" vertical="top"/>
    </xf>
    <xf numFmtId="4" fontId="60" fillId="0" borderId="3" xfId="0" applyNumberFormat="1" applyFont="1" applyFill="1" applyBorder="1" applyAlignment="1">
      <alignment vertical="center"/>
    </xf>
    <xf numFmtId="49" fontId="60" fillId="0" borderId="3" xfId="0" applyNumberFormat="1" applyFont="1" applyFill="1" applyBorder="1" applyAlignment="1">
      <alignment horizontal="center" vertical="center"/>
    </xf>
    <xf numFmtId="4" fontId="60" fillId="0" borderId="3" xfId="0" applyNumberFormat="1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vertical="center"/>
    </xf>
    <xf numFmtId="4" fontId="52" fillId="0" borderId="3" xfId="0" applyNumberFormat="1" applyFont="1" applyFill="1" applyBorder="1" applyAlignment="1">
      <alignment vertical="center"/>
    </xf>
    <xf numFmtId="0" fontId="60" fillId="0" borderId="0" xfId="0" applyFont="1" applyFill="1"/>
    <xf numFmtId="0" fontId="60" fillId="0" borderId="31" xfId="0" applyNumberFormat="1" applyFont="1" applyFill="1" applyBorder="1" applyAlignment="1">
      <alignment horizontal="left" vertical="center" wrapText="1"/>
    </xf>
    <xf numFmtId="4" fontId="60" fillId="0" borderId="36" xfId="0" applyNumberFormat="1" applyFont="1" applyFill="1" applyBorder="1" applyAlignment="1">
      <alignment horizontal="center" vertical="center"/>
    </xf>
    <xf numFmtId="3" fontId="60" fillId="0" borderId="36" xfId="0" applyNumberFormat="1" applyFont="1" applyFill="1" applyBorder="1" applyAlignment="1">
      <alignment horizontal="center" vertical="center"/>
    </xf>
    <xf numFmtId="3" fontId="52" fillId="0" borderId="36" xfId="0" applyNumberFormat="1" applyFont="1" applyFill="1" applyBorder="1" applyAlignment="1">
      <alignment horizontal="center" vertical="center"/>
    </xf>
    <xf numFmtId="3" fontId="52" fillId="0" borderId="31" xfId="0" applyNumberFormat="1" applyFont="1" applyFill="1" applyBorder="1" applyAlignment="1">
      <alignment horizontal="center" vertical="center"/>
    </xf>
    <xf numFmtId="3" fontId="52" fillId="0" borderId="4" xfId="0" applyNumberFormat="1" applyFont="1" applyFill="1" applyBorder="1" applyAlignment="1">
      <alignment horizontal="center" vertical="center"/>
    </xf>
    <xf numFmtId="171" fontId="60" fillId="0" borderId="36" xfId="0" applyNumberFormat="1" applyFont="1" applyFill="1" applyBorder="1" applyAlignment="1">
      <alignment horizontal="center" vertical="center"/>
    </xf>
    <xf numFmtId="0" fontId="60" fillId="0" borderId="50" xfId="0" applyNumberFormat="1" applyFont="1" applyFill="1" applyBorder="1" applyAlignment="1">
      <alignment horizontal="center" vertical="center"/>
    </xf>
    <xf numFmtId="0" fontId="60" fillId="0" borderId="1" xfId="0" applyNumberFormat="1" applyFont="1" applyFill="1" applyBorder="1" applyAlignment="1">
      <alignment horizontal="center" vertical="center"/>
    </xf>
    <xf numFmtId="0" fontId="124" fillId="0" borderId="1" xfId="0" applyNumberFormat="1" applyFont="1" applyFill="1" applyBorder="1" applyAlignment="1">
      <alignment horizontal="center" vertical="center"/>
    </xf>
    <xf numFmtId="0" fontId="124" fillId="0" borderId="4" xfId="0" applyNumberFormat="1" applyFont="1" applyFill="1" applyBorder="1" applyAlignment="1">
      <alignment horizontal="center" vertical="center"/>
    </xf>
    <xf numFmtId="0" fontId="124" fillId="0" borderId="50" xfId="0" applyNumberFormat="1" applyFont="1" applyFill="1" applyBorder="1" applyAlignment="1">
      <alignment horizontal="center" vertical="center"/>
    </xf>
    <xf numFmtId="0" fontId="124" fillId="0" borderId="6" xfId="0" applyNumberFormat="1" applyFont="1" applyFill="1" applyBorder="1" applyAlignment="1">
      <alignment horizontal="center" vertical="center"/>
    </xf>
    <xf numFmtId="0" fontId="124" fillId="0" borderId="4" xfId="0" applyNumberFormat="1" applyFont="1" applyFill="1" applyBorder="1" applyAlignment="1">
      <alignment horizontal="center" vertical="top"/>
    </xf>
    <xf numFmtId="0" fontId="60" fillId="0" borderId="4" xfId="0" applyNumberFormat="1" applyFont="1" applyFill="1" applyBorder="1" applyAlignment="1">
      <alignment horizontal="center" vertical="top"/>
    </xf>
    <xf numFmtId="0" fontId="60" fillId="0" borderId="11" xfId="0" applyFont="1" applyFill="1" applyBorder="1" applyAlignment="1">
      <alignment vertical="center" wrapText="1"/>
    </xf>
    <xf numFmtId="4" fontId="60" fillId="0" borderId="43" xfId="0" applyNumberFormat="1" applyFont="1" applyFill="1" applyBorder="1" applyAlignment="1">
      <alignment horizontal="center" vertical="center"/>
    </xf>
    <xf numFmtId="3" fontId="60" fillId="0" borderId="43" xfId="0" applyNumberFormat="1" applyFont="1" applyFill="1" applyBorder="1" applyAlignment="1">
      <alignment horizontal="center" vertical="center"/>
    </xf>
    <xf numFmtId="3" fontId="52" fillId="0" borderId="43" xfId="0" applyNumberFormat="1" applyFont="1" applyFill="1" applyBorder="1" applyAlignment="1">
      <alignment horizontal="center" vertical="center"/>
    </xf>
    <xf numFmtId="3" fontId="52" fillId="0" borderId="11" xfId="0" applyNumberFormat="1" applyFont="1" applyFill="1" applyBorder="1" applyAlignment="1">
      <alignment horizontal="center" vertical="center"/>
    </xf>
    <xf numFmtId="3" fontId="52" fillId="0" borderId="13" xfId="0" applyNumberFormat="1" applyFont="1" applyFill="1" applyBorder="1" applyAlignment="1">
      <alignment horizontal="center" vertical="center"/>
    </xf>
    <xf numFmtId="171" fontId="60" fillId="0" borderId="43" xfId="0" applyNumberFormat="1" applyFont="1" applyFill="1" applyBorder="1" applyAlignment="1">
      <alignment horizontal="center" vertical="center"/>
    </xf>
    <xf numFmtId="0" fontId="60" fillId="0" borderId="51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>
      <alignment horizontal="center" vertical="center"/>
    </xf>
    <xf numFmtId="0" fontId="60" fillId="0" borderId="20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>
      <alignment horizontal="center" vertical="top"/>
    </xf>
    <xf numFmtId="0" fontId="60" fillId="0" borderId="4" xfId="0" applyNumberFormat="1" applyFont="1" applyFill="1" applyBorder="1" applyAlignment="1">
      <alignment horizontal="center" vertical="top" wrapText="1"/>
    </xf>
    <xf numFmtId="0" fontId="60" fillId="0" borderId="31" xfId="0" applyFont="1" applyFill="1" applyBorder="1" applyAlignment="1">
      <alignment vertical="center" wrapText="1"/>
    </xf>
    <xf numFmtId="0" fontId="60" fillId="0" borderId="4" xfId="0" applyNumberFormat="1" applyFont="1" applyFill="1" applyBorder="1" applyAlignment="1">
      <alignment horizontal="center" vertical="center"/>
    </xf>
    <xf numFmtId="0" fontId="60" fillId="0" borderId="6" xfId="0" applyNumberFormat="1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horizontal="left" vertical="center" wrapText="1"/>
    </xf>
    <xf numFmtId="165" fontId="60" fillId="0" borderId="1" xfId="0" applyNumberFormat="1" applyFont="1" applyFill="1" applyBorder="1" applyAlignment="1">
      <alignment horizontal="center" vertical="center"/>
    </xf>
    <xf numFmtId="0" fontId="60" fillId="0" borderId="4" xfId="0" applyNumberFormat="1" applyFont="1" applyFill="1" applyBorder="1" applyAlignment="1">
      <alignment horizontal="center" vertical="center" wrapText="1"/>
    </xf>
    <xf numFmtId="0" fontId="60" fillId="0" borderId="11" xfId="0" applyNumberFormat="1" applyFont="1" applyFill="1" applyBorder="1" applyAlignment="1">
      <alignment horizontal="left" vertical="center" wrapText="1"/>
    </xf>
    <xf numFmtId="0" fontId="60" fillId="0" borderId="13" xfId="0" applyNumberFormat="1" applyFont="1" applyFill="1" applyBorder="1" applyAlignment="1">
      <alignment horizontal="center" vertical="top" wrapText="1"/>
    </xf>
    <xf numFmtId="0" fontId="126" fillId="0" borderId="77" xfId="0" applyNumberFormat="1" applyFont="1" applyFill="1" applyBorder="1" applyAlignment="1">
      <alignment horizontal="center" vertical="center" wrapText="1"/>
    </xf>
    <xf numFmtId="4" fontId="126" fillId="0" borderId="47" xfId="0" applyNumberFormat="1" applyFont="1" applyFill="1" applyBorder="1" applyAlignment="1">
      <alignment horizontal="center" vertical="center"/>
    </xf>
    <xf numFmtId="3" fontId="126" fillId="0" borderId="47" xfId="0" applyNumberFormat="1" applyFont="1" applyFill="1" applyBorder="1" applyAlignment="1">
      <alignment horizontal="center" vertical="center"/>
    </xf>
    <xf numFmtId="3" fontId="126" fillId="0" borderId="77" xfId="0" applyNumberFormat="1" applyFont="1" applyFill="1" applyBorder="1" applyAlignment="1">
      <alignment horizontal="center" vertical="center"/>
    </xf>
    <xf numFmtId="3" fontId="126" fillId="0" borderId="39" xfId="0" applyNumberFormat="1" applyFont="1" applyFill="1" applyBorder="1" applyAlignment="1">
      <alignment horizontal="center" vertical="center"/>
    </xf>
    <xf numFmtId="171" fontId="126" fillId="0" borderId="47" xfId="0" applyNumberFormat="1" applyFont="1" applyFill="1" applyBorder="1" applyAlignment="1">
      <alignment horizontal="center" vertical="center"/>
    </xf>
    <xf numFmtId="0" fontId="126" fillId="0" borderId="41" xfId="0" applyNumberFormat="1" applyFont="1" applyFill="1" applyBorder="1" applyAlignment="1">
      <alignment horizontal="center" vertical="center"/>
    </xf>
    <xf numFmtId="0" fontId="126" fillId="0" borderId="28" xfId="0" applyNumberFormat="1" applyFont="1" applyFill="1" applyBorder="1" applyAlignment="1">
      <alignment horizontal="center" vertical="center"/>
    </xf>
    <xf numFmtId="0" fontId="126" fillId="0" borderId="39" xfId="0" applyNumberFormat="1" applyFont="1" applyFill="1" applyBorder="1" applyAlignment="1">
      <alignment horizontal="center" vertical="center"/>
    </xf>
    <xf numFmtId="0" fontId="126" fillId="0" borderId="74" xfId="0" applyNumberFormat="1" applyFont="1" applyFill="1" applyBorder="1" applyAlignment="1">
      <alignment horizontal="center" vertical="center"/>
    </xf>
    <xf numFmtId="0" fontId="126" fillId="0" borderId="39" xfId="0" applyNumberFormat="1" applyFont="1" applyFill="1" applyBorder="1" applyAlignment="1">
      <alignment horizontal="center" vertical="top" wrapText="1"/>
    </xf>
    <xf numFmtId="4" fontId="126" fillId="0" borderId="0" xfId="0" applyNumberFormat="1" applyFont="1" applyFill="1" applyAlignment="1">
      <alignment horizontal="center" vertical="top"/>
    </xf>
    <xf numFmtId="4" fontId="126" fillId="0" borderId="0" xfId="0" applyNumberFormat="1" applyFont="1" applyFill="1" applyAlignment="1">
      <alignment horizontal="right" vertical="center"/>
    </xf>
    <xf numFmtId="4" fontId="126" fillId="0" borderId="3" xfId="0" applyNumberFormat="1" applyFont="1" applyFill="1" applyBorder="1" applyAlignment="1">
      <alignment vertical="center"/>
    </xf>
    <xf numFmtId="49" fontId="126" fillId="0" borderId="3" xfId="0" applyNumberFormat="1" applyFont="1" applyFill="1" applyBorder="1" applyAlignment="1">
      <alignment horizontal="center" vertical="center"/>
    </xf>
    <xf numFmtId="4" fontId="126" fillId="0" borderId="3" xfId="0" applyNumberFormat="1" applyFont="1" applyFill="1" applyBorder="1" applyAlignment="1">
      <alignment horizontal="center" vertical="center"/>
    </xf>
    <xf numFmtId="0" fontId="126" fillId="0" borderId="3" xfId="0" applyFont="1" applyFill="1" applyBorder="1" applyAlignment="1">
      <alignment vertical="center"/>
    </xf>
    <xf numFmtId="0" fontId="126" fillId="0" borderId="0" xfId="0" applyFont="1" applyFill="1"/>
    <xf numFmtId="0" fontId="103" fillId="0" borderId="30" xfId="0" applyNumberFormat="1" applyFont="1" applyFill="1" applyBorder="1" applyAlignment="1">
      <alignment horizontal="left" vertical="center" wrapText="1"/>
    </xf>
    <xf numFmtId="4" fontId="103" fillId="0" borderId="35" xfId="0" applyNumberFormat="1" applyFont="1" applyFill="1" applyBorder="1" applyAlignment="1">
      <alignment horizontal="center" vertical="center"/>
    </xf>
    <xf numFmtId="3" fontId="103" fillId="0" borderId="35" xfId="0" applyNumberFormat="1" applyFont="1" applyFill="1" applyBorder="1" applyAlignment="1">
      <alignment horizontal="center" vertical="center"/>
    </xf>
    <xf numFmtId="3" fontId="104" fillId="0" borderId="35" xfId="0" applyNumberFormat="1" applyFont="1" applyFill="1" applyBorder="1" applyAlignment="1">
      <alignment horizontal="center" vertical="center"/>
    </xf>
    <xf numFmtId="3" fontId="104" fillId="0" borderId="30" xfId="0" applyNumberFormat="1" applyFont="1" applyFill="1" applyBorder="1" applyAlignment="1">
      <alignment horizontal="center" vertical="center"/>
    </xf>
    <xf numFmtId="3" fontId="104" fillId="0" borderId="18" xfId="0" applyNumberFormat="1" applyFont="1" applyFill="1" applyBorder="1" applyAlignment="1">
      <alignment horizontal="center" vertical="center"/>
    </xf>
    <xf numFmtId="171" fontId="103" fillId="0" borderId="35" xfId="0" applyNumberFormat="1" applyFont="1" applyFill="1" applyBorder="1" applyAlignment="1">
      <alignment horizontal="center" vertical="center"/>
    </xf>
    <xf numFmtId="0" fontId="103" fillId="0" borderId="54" xfId="0" applyNumberFormat="1" applyFont="1" applyFill="1" applyBorder="1" applyAlignment="1">
      <alignment horizontal="center" vertical="center"/>
    </xf>
    <xf numFmtId="0" fontId="103" fillId="0" borderId="17" xfId="0" applyNumberFormat="1" applyFont="1" applyFill="1" applyBorder="1" applyAlignment="1">
      <alignment horizontal="center" vertical="center"/>
    </xf>
    <xf numFmtId="0" fontId="103" fillId="0" borderId="18" xfId="0" applyNumberFormat="1" applyFont="1" applyFill="1" applyBorder="1" applyAlignment="1">
      <alignment horizontal="center" vertical="center"/>
    </xf>
    <xf numFmtId="0" fontId="103" fillId="0" borderId="53" xfId="0" applyNumberFormat="1" applyFont="1" applyFill="1" applyBorder="1" applyAlignment="1">
      <alignment horizontal="center" vertical="center"/>
    </xf>
    <xf numFmtId="0" fontId="103" fillId="0" borderId="18" xfId="0" applyNumberFormat="1" applyFont="1" applyFill="1" applyBorder="1" applyAlignment="1">
      <alignment horizontal="center" vertical="top" wrapText="1"/>
    </xf>
    <xf numFmtId="4" fontId="103" fillId="0" borderId="0" xfId="0" applyNumberFormat="1" applyFont="1" applyFill="1" applyAlignment="1">
      <alignment horizontal="center" vertical="top"/>
    </xf>
    <xf numFmtId="4" fontId="103" fillId="0" borderId="3" xfId="0" applyNumberFormat="1" applyFont="1" applyFill="1" applyBorder="1" applyAlignment="1">
      <alignment vertical="center"/>
    </xf>
    <xf numFmtId="49" fontId="103" fillId="0" borderId="3" xfId="0" applyNumberFormat="1" applyFont="1" applyFill="1" applyBorder="1" applyAlignment="1">
      <alignment horizontal="center" vertical="center"/>
    </xf>
    <xf numFmtId="4" fontId="103" fillId="0" borderId="3" xfId="0" applyNumberFormat="1" applyFont="1" applyFill="1" applyBorder="1" applyAlignment="1">
      <alignment horizontal="center" vertical="center"/>
    </xf>
    <xf numFmtId="0" fontId="103" fillId="0" borderId="3" xfId="0" applyFont="1" applyFill="1" applyBorder="1" applyAlignment="1">
      <alignment vertical="center"/>
    </xf>
    <xf numFmtId="4" fontId="104" fillId="0" borderId="3" xfId="0" applyNumberFormat="1" applyFont="1" applyFill="1" applyBorder="1" applyAlignment="1">
      <alignment vertical="center"/>
    </xf>
    <xf numFmtId="0" fontId="123" fillId="0" borderId="49" xfId="0" applyFont="1" applyFill="1" applyBorder="1" applyAlignment="1">
      <alignment horizontal="center" vertical="center" wrapText="1"/>
    </xf>
    <xf numFmtId="0" fontId="60" fillId="0" borderId="13" xfId="0" applyNumberFormat="1" applyFont="1" applyFill="1" applyBorder="1" applyAlignment="1">
      <alignment horizontal="center" vertical="center" wrapText="1"/>
    </xf>
    <xf numFmtId="0" fontId="103" fillId="0" borderId="30" xfId="0" applyFont="1" applyFill="1" applyBorder="1" applyAlignment="1">
      <alignment horizontal="left" vertical="center" wrapText="1"/>
    </xf>
    <xf numFmtId="165" fontId="103" fillId="0" borderId="17" xfId="0" applyNumberFormat="1" applyFont="1" applyFill="1" applyBorder="1" applyAlignment="1">
      <alignment horizontal="center" vertical="center"/>
    </xf>
    <xf numFmtId="0" fontId="52" fillId="0" borderId="49" xfId="0" applyFont="1" applyFill="1" applyBorder="1" applyAlignment="1">
      <alignment horizontal="center" vertical="center" wrapText="1"/>
    </xf>
    <xf numFmtId="4" fontId="52" fillId="4" borderId="42" xfId="0" applyNumberFormat="1" applyFont="1" applyFill="1" applyBorder="1" applyAlignment="1">
      <alignment horizontal="center" vertical="center"/>
    </xf>
    <xf numFmtId="3" fontId="52" fillId="4" borderId="42" xfId="0" applyNumberFormat="1" applyFont="1" applyFill="1" applyBorder="1" applyAlignment="1">
      <alignment horizontal="center" vertical="center"/>
    </xf>
    <xf numFmtId="3" fontId="52" fillId="4" borderId="49" xfId="0" applyNumberFormat="1" applyFont="1" applyFill="1" applyBorder="1" applyAlignment="1">
      <alignment horizontal="center" vertical="center"/>
    </xf>
    <xf numFmtId="3" fontId="52" fillId="4" borderId="26" xfId="0" applyNumberFormat="1" applyFont="1" applyFill="1" applyBorder="1" applyAlignment="1">
      <alignment horizontal="center" vertical="center"/>
    </xf>
    <xf numFmtId="2" fontId="60" fillId="0" borderId="23" xfId="0" applyNumberFormat="1" applyFont="1" applyFill="1" applyBorder="1" applyAlignment="1">
      <alignment horizontal="center" vertical="center"/>
    </xf>
    <xf numFmtId="171" fontId="60" fillId="0" borderId="11" xfId="0" applyNumberFormat="1" applyFont="1" applyFill="1" applyBorder="1" applyAlignment="1">
      <alignment horizontal="left" vertical="center" wrapText="1"/>
    </xf>
    <xf numFmtId="167" fontId="60" fillId="0" borderId="43" xfId="0" applyNumberFormat="1" applyFont="1" applyFill="1" applyBorder="1" applyAlignment="1">
      <alignment horizontal="center" vertical="center"/>
    </xf>
    <xf numFmtId="165" fontId="60" fillId="0" borderId="51" xfId="0" applyNumberFormat="1" applyFont="1" applyFill="1" applyBorder="1" applyAlignment="1">
      <alignment horizontal="center" vertical="center"/>
    </xf>
    <xf numFmtId="165" fontId="60" fillId="0" borderId="3" xfId="0" applyNumberFormat="1" applyFont="1" applyFill="1" applyBorder="1" applyAlignment="1">
      <alignment horizontal="center" vertical="center"/>
    </xf>
    <xf numFmtId="165" fontId="60" fillId="0" borderId="13" xfId="0" applyNumberFormat="1" applyFont="1" applyFill="1" applyBorder="1" applyAlignment="1">
      <alignment horizontal="center" vertical="center"/>
    </xf>
    <xf numFmtId="2" fontId="60" fillId="0" borderId="3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Alignment="1">
      <alignment horizontal="center" vertical="top"/>
    </xf>
    <xf numFmtId="174" fontId="60" fillId="0" borderId="3" xfId="0" applyNumberFormat="1" applyFont="1" applyFill="1" applyBorder="1" applyAlignment="1">
      <alignment vertical="center"/>
    </xf>
    <xf numFmtId="0" fontId="60" fillId="0" borderId="11" xfId="0" applyFont="1" applyFill="1" applyBorder="1" applyAlignment="1">
      <alignment horizontal="justify" vertical="center"/>
    </xf>
    <xf numFmtId="2" fontId="60" fillId="0" borderId="51" xfId="0" applyNumberFormat="1" applyFont="1" applyFill="1" applyBorder="1" applyAlignment="1">
      <alignment horizontal="center" vertical="center"/>
    </xf>
    <xf numFmtId="4" fontId="60" fillId="0" borderId="0" xfId="0" applyNumberFormat="1" applyFont="1" applyFill="1" applyAlignment="1">
      <alignment horizontal="center" vertical="center"/>
    </xf>
    <xf numFmtId="0" fontId="60" fillId="0" borderId="30" xfId="0" applyFont="1" applyFill="1" applyBorder="1" applyAlignment="1">
      <alignment vertical="center" wrapText="1"/>
    </xf>
    <xf numFmtId="0" fontId="60" fillId="0" borderId="0" xfId="0" applyFont="1" applyFill="1" applyAlignment="1">
      <alignment vertical="center"/>
    </xf>
    <xf numFmtId="2" fontId="60" fillId="0" borderId="13" xfId="0" applyNumberFormat="1" applyFont="1" applyFill="1" applyBorder="1" applyAlignment="1">
      <alignment horizontal="center" vertical="center"/>
    </xf>
    <xf numFmtId="166" fontId="60" fillId="0" borderId="3" xfId="0" applyNumberFormat="1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horizontal="left" vertical="center"/>
    </xf>
    <xf numFmtId="0" fontId="127" fillId="0" borderId="4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>
      <alignment vertical="top"/>
    </xf>
    <xf numFmtId="0" fontId="60" fillId="0" borderId="80" xfId="0" applyFont="1" applyFill="1" applyBorder="1" applyAlignment="1">
      <alignment horizontal="left" vertical="center" wrapText="1"/>
    </xf>
    <xf numFmtId="4" fontId="60" fillId="0" borderId="46" xfId="0" applyNumberFormat="1" applyFont="1" applyFill="1" applyBorder="1" applyAlignment="1">
      <alignment horizontal="center" vertical="center"/>
    </xf>
    <xf numFmtId="3" fontId="60" fillId="0" borderId="46" xfId="0" applyNumberFormat="1" applyFont="1" applyFill="1" applyBorder="1" applyAlignment="1">
      <alignment horizontal="center" vertical="center"/>
    </xf>
    <xf numFmtId="3" fontId="52" fillId="0" borderId="46" xfId="0" applyNumberFormat="1" applyFont="1" applyFill="1" applyBorder="1" applyAlignment="1">
      <alignment horizontal="center" vertical="center"/>
    </xf>
    <xf numFmtId="3" fontId="52" fillId="0" borderId="80" xfId="0" applyNumberFormat="1" applyFont="1" applyFill="1" applyBorder="1" applyAlignment="1">
      <alignment horizontal="center" vertical="center"/>
    </xf>
    <xf numFmtId="3" fontId="52" fillId="0" borderId="52" xfId="0" applyNumberFormat="1" applyFont="1" applyFill="1" applyBorder="1" applyAlignment="1">
      <alignment horizontal="center" vertical="center"/>
    </xf>
    <xf numFmtId="0" fontId="127" fillId="0" borderId="46" xfId="0" applyNumberFormat="1" applyFont="1" applyFill="1" applyBorder="1" applyAlignment="1">
      <alignment horizontal="center" vertical="center"/>
    </xf>
    <xf numFmtId="0" fontId="60" fillId="0" borderId="56" xfId="0" applyNumberFormat="1" applyFont="1" applyFill="1" applyBorder="1" applyAlignment="1">
      <alignment horizontal="center" vertical="center"/>
    </xf>
    <xf numFmtId="0" fontId="60" fillId="0" borderId="15" xfId="0" applyNumberFormat="1" applyFont="1" applyFill="1" applyBorder="1" applyAlignment="1">
      <alignment horizontal="center" vertical="center"/>
    </xf>
    <xf numFmtId="0" fontId="60" fillId="0" borderId="52" xfId="0" applyNumberFormat="1" applyFont="1" applyFill="1" applyBorder="1" applyAlignment="1">
      <alignment horizontal="center" vertical="center"/>
    </xf>
    <xf numFmtId="2" fontId="60" fillId="0" borderId="15" xfId="0" applyNumberFormat="1" applyFont="1" applyFill="1" applyBorder="1" applyAlignment="1">
      <alignment horizontal="center" vertical="center"/>
    </xf>
    <xf numFmtId="0" fontId="60" fillId="0" borderId="68" xfId="0" applyNumberFormat="1" applyFont="1" applyFill="1" applyBorder="1" applyAlignment="1">
      <alignment horizontal="center" vertical="center"/>
    </xf>
    <xf numFmtId="4" fontId="60" fillId="0" borderId="0" xfId="0" applyNumberFormat="1" applyFont="1" applyFill="1" applyBorder="1" applyAlignment="1">
      <alignment horizontal="center" vertical="top"/>
    </xf>
    <xf numFmtId="4" fontId="60" fillId="0" borderId="0" xfId="0" applyNumberFormat="1" applyFont="1" applyFill="1" applyBorder="1" applyAlignment="1">
      <alignment horizontal="right" vertical="center"/>
    </xf>
    <xf numFmtId="4" fontId="60" fillId="0" borderId="3" xfId="0" applyNumberFormat="1" applyFont="1" applyFill="1" applyBorder="1" applyAlignment="1">
      <alignment horizontal="right" vertical="center" wrapText="1"/>
    </xf>
    <xf numFmtId="4" fontId="60" fillId="0" borderId="3" xfId="0" applyNumberFormat="1" applyFont="1" applyFill="1" applyBorder="1" applyAlignment="1">
      <alignment vertical="center" wrapText="1"/>
    </xf>
    <xf numFmtId="4" fontId="60" fillId="0" borderId="0" xfId="0" applyNumberFormat="1" applyFont="1" applyFill="1" applyBorder="1"/>
    <xf numFmtId="0" fontId="60" fillId="0" borderId="0" xfId="0" applyFont="1" applyFill="1" applyBorder="1"/>
    <xf numFmtId="0" fontId="60" fillId="0" borderId="3" xfId="0" applyFont="1" applyFill="1" applyBorder="1"/>
    <xf numFmtId="4" fontId="60" fillId="0" borderId="3" xfId="0" applyNumberFormat="1" applyFont="1" applyFill="1" applyBorder="1" applyAlignment="1">
      <alignment horizontal="right" vertical="center"/>
    </xf>
    <xf numFmtId="0" fontId="60" fillId="0" borderId="43" xfId="0" applyFont="1" applyFill="1" applyBorder="1" applyAlignment="1">
      <alignment horizontal="left" vertical="center" wrapText="1"/>
    </xf>
    <xf numFmtId="0" fontId="60" fillId="0" borderId="45" xfId="0" applyNumberFormat="1" applyFont="1" applyFill="1" applyBorder="1" applyAlignment="1">
      <alignment horizontal="center" vertical="center"/>
    </xf>
    <xf numFmtId="166" fontId="60" fillId="0" borderId="51" xfId="0" applyNumberFormat="1" applyFont="1" applyFill="1" applyBorder="1" applyAlignment="1">
      <alignment horizontal="center" vertical="center"/>
    </xf>
    <xf numFmtId="0" fontId="60" fillId="0" borderId="45" xfId="0" applyNumberFormat="1" applyFont="1" applyFill="1" applyBorder="1" applyAlignment="1">
      <alignment vertical="top"/>
    </xf>
    <xf numFmtId="0" fontId="60" fillId="0" borderId="31" xfId="0" applyFont="1" applyFill="1" applyBorder="1" applyAlignment="1">
      <alignment horizontal="left" vertical="center" wrapText="1"/>
    </xf>
    <xf numFmtId="0" fontId="60" fillId="0" borderId="30" xfId="0" applyFont="1" applyFill="1" applyBorder="1" applyAlignment="1">
      <alignment horizontal="left" vertical="center" wrapText="1"/>
    </xf>
    <xf numFmtId="4" fontId="60" fillId="0" borderId="35" xfId="0" applyNumberFormat="1" applyFont="1" applyFill="1" applyBorder="1" applyAlignment="1">
      <alignment horizontal="center" vertical="center"/>
    </xf>
    <xf numFmtId="3" fontId="60" fillId="0" borderId="35" xfId="0" applyNumberFormat="1" applyFont="1" applyFill="1" applyBorder="1" applyAlignment="1">
      <alignment horizontal="center" vertical="center"/>
    </xf>
    <xf numFmtId="3" fontId="52" fillId="0" borderId="35" xfId="0" applyNumberFormat="1" applyFont="1" applyFill="1" applyBorder="1" applyAlignment="1">
      <alignment horizontal="center" vertical="center"/>
    </xf>
    <xf numFmtId="3" fontId="52" fillId="0" borderId="30" xfId="0" applyNumberFormat="1" applyFont="1" applyFill="1" applyBorder="1" applyAlignment="1">
      <alignment horizontal="center" vertical="center"/>
    </xf>
    <xf numFmtId="3" fontId="52" fillId="0" borderId="18" xfId="0" applyNumberFormat="1" applyFont="1" applyFill="1" applyBorder="1" applyAlignment="1">
      <alignment horizontal="center" vertical="center"/>
    </xf>
    <xf numFmtId="0" fontId="127" fillId="0" borderId="35" xfId="0" applyNumberFormat="1" applyFont="1" applyFill="1" applyBorder="1" applyAlignment="1">
      <alignment horizontal="center" vertical="center"/>
    </xf>
    <xf numFmtId="0" fontId="60" fillId="0" borderId="77" xfId="0" applyNumberFormat="1" applyFont="1" applyFill="1" applyBorder="1" applyAlignment="1">
      <alignment horizontal="center" vertical="center"/>
    </xf>
    <xf numFmtId="0" fontId="60" fillId="0" borderId="33" xfId="0" applyNumberFormat="1" applyFont="1" applyFill="1" applyBorder="1" applyAlignment="1">
      <alignment horizontal="center" vertical="center"/>
    </xf>
    <xf numFmtId="0" fontId="60" fillId="0" borderId="60" xfId="0" applyNumberFormat="1" applyFont="1" applyFill="1" applyBorder="1" applyAlignment="1">
      <alignment horizontal="center" vertical="center"/>
    </xf>
    <xf numFmtId="166" fontId="60" fillId="0" borderId="77" xfId="0" applyNumberFormat="1" applyFont="1" applyFill="1" applyBorder="1" applyAlignment="1">
      <alignment horizontal="center" vertical="center"/>
    </xf>
    <xf numFmtId="2" fontId="60" fillId="0" borderId="33" xfId="0" applyNumberFormat="1" applyFont="1" applyFill="1" applyBorder="1" applyAlignment="1">
      <alignment horizontal="center" vertical="center"/>
    </xf>
    <xf numFmtId="0" fontId="60" fillId="0" borderId="60" xfId="0" applyNumberFormat="1" applyFont="1" applyFill="1" applyBorder="1" applyAlignment="1">
      <alignment vertical="top"/>
    </xf>
    <xf numFmtId="0" fontId="60" fillId="0" borderId="60" xfId="0" applyNumberFormat="1" applyFont="1" applyFill="1" applyBorder="1" applyAlignment="1">
      <alignment horizontal="center" vertical="center" wrapText="1"/>
    </xf>
    <xf numFmtId="3" fontId="126" fillId="4" borderId="72" xfId="0" applyNumberFormat="1" applyFont="1" applyFill="1" applyBorder="1" applyAlignment="1">
      <alignment horizontal="center" vertical="center"/>
    </xf>
    <xf numFmtId="4" fontId="126" fillId="4" borderId="48" xfId="0" applyNumberFormat="1" applyFont="1" applyFill="1" applyBorder="1" applyAlignment="1">
      <alignment horizontal="center" vertical="center"/>
    </xf>
    <xf numFmtId="4" fontId="126" fillId="4" borderId="64" xfId="0" applyNumberFormat="1" applyFont="1" applyFill="1" applyBorder="1" applyAlignment="1">
      <alignment horizontal="center" vertical="center"/>
    </xf>
    <xf numFmtId="4" fontId="126" fillId="4" borderId="61" xfId="0" applyNumberFormat="1" applyFont="1" applyFill="1" applyBorder="1" applyAlignment="1">
      <alignment horizontal="center" vertical="center"/>
    </xf>
    <xf numFmtId="4" fontId="126" fillId="4" borderId="65" xfId="0" applyNumberFormat="1" applyFont="1" applyFill="1" applyBorder="1" applyAlignment="1">
      <alignment horizontal="center" vertical="center"/>
    </xf>
    <xf numFmtId="4" fontId="130" fillId="0" borderId="0" xfId="0" applyNumberFormat="1" applyFont="1" applyFill="1" applyAlignment="1">
      <alignment horizontal="center" vertical="top"/>
    </xf>
    <xf numFmtId="4" fontId="130" fillId="0" borderId="0" xfId="0" applyNumberFormat="1" applyFont="1" applyFill="1" applyAlignment="1">
      <alignment horizontal="right" vertical="center"/>
    </xf>
    <xf numFmtId="4" fontId="130" fillId="0" borderId="3" xfId="0" applyNumberFormat="1" applyFont="1" applyFill="1" applyBorder="1" applyAlignment="1">
      <alignment vertical="center"/>
    </xf>
    <xf numFmtId="49" fontId="130" fillId="0" borderId="3" xfId="0" applyNumberFormat="1" applyFont="1" applyFill="1" applyBorder="1" applyAlignment="1">
      <alignment horizontal="center" vertical="center"/>
    </xf>
    <xf numFmtId="4" fontId="130" fillId="0" borderId="3" xfId="0" applyNumberFormat="1" applyFont="1" applyFill="1" applyBorder="1" applyAlignment="1">
      <alignment horizontal="center" vertical="center"/>
    </xf>
    <xf numFmtId="0" fontId="130" fillId="0" borderId="3" xfId="0" applyFont="1" applyFill="1" applyBorder="1" applyAlignment="1">
      <alignment vertical="center"/>
    </xf>
    <xf numFmtId="4" fontId="130" fillId="0" borderId="0" xfId="0" applyNumberFormat="1" applyFont="1" applyFill="1"/>
    <xf numFmtId="0" fontId="130" fillId="0" borderId="0" xfId="0" applyFont="1" applyFill="1"/>
    <xf numFmtId="3" fontId="126" fillId="4" borderId="77" xfId="0" applyNumberFormat="1" applyFont="1" applyFill="1" applyBorder="1" applyAlignment="1">
      <alignment horizontal="center" vertical="center"/>
    </xf>
    <xf numFmtId="4" fontId="52" fillId="4" borderId="0" xfId="0" applyNumberFormat="1" applyFont="1" applyFill="1" applyBorder="1" applyAlignment="1">
      <alignment horizontal="center" vertical="center"/>
    </xf>
    <xf numFmtId="4" fontId="60" fillId="0" borderId="0" xfId="0" applyNumberFormat="1" applyFont="1" applyFill="1" applyAlignment="1">
      <alignment vertical="center"/>
    </xf>
    <xf numFmtId="0" fontId="60" fillId="0" borderId="0" xfId="0" applyFont="1" applyFill="1" applyAlignment="1">
      <alignment horizontal="center" vertical="center"/>
    </xf>
    <xf numFmtId="0" fontId="52" fillId="4" borderId="0" xfId="0" applyFont="1" applyFill="1" applyBorder="1" applyAlignment="1">
      <alignment horizontal="center" vertical="center" wrapText="1"/>
    </xf>
    <xf numFmtId="49" fontId="131" fillId="0" borderId="0" xfId="0" applyNumberFormat="1" applyFont="1" applyFill="1" applyAlignment="1">
      <alignment vertical="justify" wrapText="1"/>
    </xf>
    <xf numFmtId="4" fontId="131" fillId="0" borderId="5" xfId="0" applyNumberFormat="1" applyFont="1" applyFill="1" applyBorder="1"/>
    <xf numFmtId="4" fontId="123" fillId="0" borderId="5" xfId="0" applyNumberFormat="1" applyFont="1" applyFill="1" applyBorder="1"/>
    <xf numFmtId="171" fontId="131" fillId="0" borderId="5" xfId="0" applyNumberFormat="1" applyFont="1" applyFill="1" applyBorder="1"/>
    <xf numFmtId="0" fontId="131" fillId="0" borderId="0" xfId="0" applyNumberFormat="1" applyFont="1" applyFill="1"/>
    <xf numFmtId="0" fontId="131" fillId="0" borderId="5" xfId="0" applyNumberFormat="1" applyFont="1" applyFill="1" applyBorder="1"/>
    <xf numFmtId="0" fontId="132" fillId="0" borderId="5" xfId="0" applyNumberFormat="1" applyFont="1" applyFill="1" applyBorder="1"/>
    <xf numFmtId="4" fontId="131" fillId="0" borderId="0" xfId="0" applyNumberFormat="1" applyFont="1" applyFill="1"/>
    <xf numFmtId="4" fontId="131" fillId="0" borderId="0" xfId="0" applyNumberFormat="1" applyFont="1" applyFill="1" applyAlignment="1">
      <alignment horizontal="right" vertical="center"/>
    </xf>
    <xf numFmtId="4" fontId="131" fillId="0" borderId="0" xfId="0" applyNumberFormat="1" applyFont="1" applyAlignment="1">
      <alignment vertical="center"/>
    </xf>
    <xf numFmtId="0" fontId="131" fillId="0" borderId="0" xfId="0" applyFont="1" applyAlignment="1">
      <alignment vertical="center"/>
    </xf>
    <xf numFmtId="0" fontId="131" fillId="0" borderId="0" xfId="0" applyFont="1" applyAlignment="1">
      <alignment horizontal="center" vertical="center"/>
    </xf>
    <xf numFmtId="0" fontId="131" fillId="0" borderId="0" xfId="0" applyFont="1"/>
    <xf numFmtId="0" fontId="60" fillId="0" borderId="0" xfId="0" applyFont="1" applyFill="1" applyAlignment="1">
      <alignment wrapText="1"/>
    </xf>
    <xf numFmtId="4" fontId="60" fillId="0" borderId="0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center" vertical="center"/>
    </xf>
    <xf numFmtId="167" fontId="60" fillId="0" borderId="0" xfId="0" applyNumberFormat="1" applyFont="1" applyFill="1" applyBorder="1" applyAlignment="1">
      <alignment horizontal="center" vertical="center"/>
    </xf>
    <xf numFmtId="2" fontId="60" fillId="0" borderId="0" xfId="0" applyNumberFormat="1" applyFont="1" applyFill="1" applyBorder="1" applyAlignment="1">
      <alignment horizontal="center" vertical="center"/>
    </xf>
    <xf numFmtId="165" fontId="60" fillId="0" borderId="0" xfId="0" applyNumberFormat="1" applyFont="1" applyFill="1" applyBorder="1" applyAlignment="1">
      <alignment horizontal="center" vertical="center"/>
    </xf>
    <xf numFmtId="165" fontId="60" fillId="4" borderId="0" xfId="0" applyNumberFormat="1" applyFont="1" applyFill="1" applyBorder="1" applyAlignment="1">
      <alignment horizontal="center" vertical="center"/>
    </xf>
    <xf numFmtId="0" fontId="60" fillId="4" borderId="0" xfId="0" applyNumberFormat="1" applyFont="1" applyFill="1" applyBorder="1" applyAlignment="1">
      <alignment horizontal="center" vertical="center"/>
    </xf>
    <xf numFmtId="2" fontId="60" fillId="4" borderId="0" xfId="0" applyNumberFormat="1" applyFont="1" applyFill="1" applyBorder="1" applyAlignment="1">
      <alignment horizontal="center" vertical="center"/>
    </xf>
    <xf numFmtId="0" fontId="60" fillId="4" borderId="0" xfId="0" applyNumberFormat="1" applyFont="1" applyFill="1" applyBorder="1" applyAlignment="1">
      <alignment horizontal="center" vertical="top"/>
    </xf>
    <xf numFmtId="4" fontId="60" fillId="0" borderId="0" xfId="0" applyNumberFormat="1" applyFont="1" applyFill="1"/>
    <xf numFmtId="49" fontId="60" fillId="0" borderId="0" xfId="0" applyNumberFormat="1" applyFont="1" applyFill="1" applyAlignment="1">
      <alignment horizontal="right" vertical="justify" wrapText="1"/>
    </xf>
    <xf numFmtId="4" fontId="60" fillId="0" borderId="0" xfId="0" applyNumberFormat="1" applyFont="1" applyFill="1" applyAlignment="1">
      <alignment horizontal="right"/>
    </xf>
    <xf numFmtId="4" fontId="52" fillId="0" borderId="0" xfId="0" applyNumberFormat="1" applyFont="1" applyFill="1" applyAlignment="1">
      <alignment horizontal="right"/>
    </xf>
    <xf numFmtId="171" fontId="60" fillId="0" borderId="0" xfId="0" applyNumberFormat="1" applyFont="1" applyFill="1"/>
    <xf numFmtId="0" fontId="60" fillId="0" borderId="0" xfId="0" applyNumberFormat="1" applyFont="1" applyFill="1"/>
    <xf numFmtId="4" fontId="125" fillId="0" borderId="0" xfId="0" applyNumberFormat="1" applyFont="1" applyFill="1"/>
    <xf numFmtId="3" fontId="52" fillId="0" borderId="0" xfId="0" applyNumberFormat="1" applyFont="1" applyFill="1"/>
    <xf numFmtId="4" fontId="60" fillId="0" borderId="0" xfId="0" applyNumberFormat="1" applyFont="1" applyAlignment="1">
      <alignment horizontal="right" vertical="center"/>
    </xf>
    <xf numFmtId="0" fontId="60" fillId="0" borderId="0" xfId="0" applyFont="1" applyAlignment="1">
      <alignment horizontal="right"/>
    </xf>
    <xf numFmtId="174" fontId="60" fillId="0" borderId="0" xfId="0" applyNumberFormat="1" applyFont="1" applyFill="1"/>
    <xf numFmtId="49" fontId="60" fillId="0" borderId="0" xfId="0" applyNumberFormat="1" applyFont="1" applyFill="1" applyAlignment="1">
      <alignment vertical="justify" wrapText="1"/>
    </xf>
    <xf numFmtId="3" fontId="133" fillId="0" borderId="0" xfId="0" applyNumberFormat="1" applyFont="1" applyFill="1"/>
    <xf numFmtId="0" fontId="52" fillId="0" borderId="0" xfId="0" applyFont="1" applyFill="1"/>
    <xf numFmtId="4" fontId="133" fillId="0" borderId="0" xfId="0" applyNumberFormat="1" applyFont="1" applyFill="1" applyAlignment="1">
      <alignment vertical="center"/>
    </xf>
    <xf numFmtId="174" fontId="92" fillId="0" borderId="0" xfId="0" applyNumberFormat="1" applyFont="1" applyFill="1" applyAlignment="1">
      <alignment horizontal="center" vertical="center"/>
    </xf>
    <xf numFmtId="4" fontId="134" fillId="0" borderId="0" xfId="0" applyNumberFormat="1" applyFont="1" applyFill="1" applyAlignment="1">
      <alignment vertical="center"/>
    </xf>
    <xf numFmtId="4" fontId="135" fillId="0" borderId="0" xfId="0" applyNumberFormat="1" applyFont="1" applyFill="1" applyAlignment="1">
      <alignment vertical="center"/>
    </xf>
    <xf numFmtId="4" fontId="92" fillId="0" borderId="0" xfId="0" applyNumberFormat="1" applyFont="1" applyFill="1" applyAlignment="1">
      <alignment horizontal="center" vertical="center"/>
    </xf>
    <xf numFmtId="174" fontId="136" fillId="0" borderId="0" xfId="0" applyNumberFormat="1" applyFont="1" applyFill="1" applyAlignment="1">
      <alignment horizontal="center" vertical="center"/>
    </xf>
    <xf numFmtId="174" fontId="135" fillId="0" borderId="0" xfId="0" applyNumberFormat="1" applyFont="1" applyFill="1" applyAlignment="1">
      <alignment horizontal="center" vertical="center"/>
    </xf>
    <xf numFmtId="174" fontId="133" fillId="0" borderId="0" xfId="0" applyNumberFormat="1" applyFont="1" applyFill="1" applyAlignment="1">
      <alignment horizontal="center" vertical="center"/>
    </xf>
    <xf numFmtId="174" fontId="92" fillId="0" borderId="0" xfId="0" applyNumberFormat="1" applyFont="1" applyFill="1" applyBorder="1" applyAlignment="1">
      <alignment horizontal="center" vertical="center"/>
    </xf>
    <xf numFmtId="4" fontId="136" fillId="0" borderId="0" xfId="0" applyNumberFormat="1" applyFont="1" applyFill="1" applyAlignment="1">
      <alignment horizontal="center" vertical="center"/>
    </xf>
    <xf numFmtId="4" fontId="92" fillId="0" borderId="0" xfId="0" applyNumberFormat="1" applyFont="1" applyFill="1" applyBorder="1" applyAlignment="1">
      <alignment horizontal="center" vertical="center"/>
    </xf>
    <xf numFmtId="4" fontId="137" fillId="0" borderId="0" xfId="0" applyNumberFormat="1" applyFont="1" applyFill="1" applyAlignment="1">
      <alignment horizontal="center" vertical="center"/>
    </xf>
    <xf numFmtId="4" fontId="138" fillId="0" borderId="0" xfId="0" applyNumberFormat="1" applyFont="1" applyFill="1" applyAlignment="1">
      <alignment vertical="center"/>
    </xf>
    <xf numFmtId="4" fontId="92" fillId="0" borderId="0" xfId="0" applyNumberFormat="1" applyFont="1" applyFill="1" applyAlignment="1">
      <alignment vertical="center"/>
    </xf>
    <xf numFmtId="4" fontId="92" fillId="0" borderId="0" xfId="0" applyNumberFormat="1" applyFont="1" applyAlignment="1">
      <alignment vertical="center"/>
    </xf>
    <xf numFmtId="4" fontId="92" fillId="0" borderId="0" xfId="0" applyNumberFormat="1" applyFont="1" applyFill="1" applyBorder="1" applyAlignment="1">
      <alignment horizontal="center" vertical="center" wrapText="1"/>
    </xf>
    <xf numFmtId="0" fontId="139" fillId="0" borderId="3" xfId="0" applyNumberFormat="1" applyFont="1" applyFill="1" applyBorder="1" applyAlignment="1">
      <alignment horizontal="center" vertical="center"/>
    </xf>
    <xf numFmtId="0" fontId="140" fillId="0" borderId="0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 wrapText="1"/>
    </xf>
    <xf numFmtId="49" fontId="103" fillId="0" borderId="0" xfId="0" applyNumberFormat="1" applyFont="1" applyBorder="1" applyAlignment="1">
      <alignment horizontal="center" vertical="center"/>
    </xf>
    <xf numFmtId="174" fontId="104" fillId="0" borderId="0" xfId="0" applyNumberFormat="1" applyFont="1" applyFill="1" applyBorder="1" applyAlignment="1">
      <alignment horizontal="center" vertical="center"/>
    </xf>
    <xf numFmtId="4" fontId="103" fillId="0" borderId="0" xfId="0" applyNumberFormat="1" applyFont="1"/>
    <xf numFmtId="2" fontId="26" fillId="0" borderId="1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/>
    </xf>
    <xf numFmtId="1" fontId="5" fillId="0" borderId="37" xfId="0" applyNumberFormat="1" applyFont="1" applyFill="1" applyBorder="1"/>
    <xf numFmtId="1" fontId="7" fillId="0" borderId="37" xfId="0" applyNumberFormat="1" applyFont="1" applyFill="1" applyBorder="1" applyAlignment="1">
      <alignment horizontal="center"/>
    </xf>
    <xf numFmtId="0" fontId="108" fillId="0" borderId="0" xfId="0" applyFont="1" applyFill="1" applyAlignment="1">
      <alignment horizontal="center" vertical="center"/>
    </xf>
    <xf numFmtId="3" fontId="73" fillId="0" borderId="13" xfId="0" applyNumberFormat="1" applyFont="1" applyFill="1" applyBorder="1" applyAlignment="1">
      <alignment horizontal="center" vertical="center"/>
    </xf>
    <xf numFmtId="0" fontId="108" fillId="0" borderId="0" xfId="0" applyFont="1" applyFill="1"/>
    <xf numFmtId="14" fontId="73" fillId="0" borderId="43" xfId="0" applyNumberFormat="1" applyFont="1" applyFill="1" applyBorder="1" applyAlignment="1">
      <alignment horizontal="center" vertical="center"/>
    </xf>
    <xf numFmtId="3" fontId="73" fillId="0" borderId="11" xfId="0" applyNumberFormat="1" applyFont="1" applyFill="1" applyBorder="1" applyAlignment="1">
      <alignment horizontal="center" vertical="center"/>
    </xf>
    <xf numFmtId="3" fontId="73" fillId="0" borderId="21" xfId="0" applyNumberFormat="1" applyFont="1" applyFill="1" applyBorder="1" applyAlignment="1">
      <alignment horizontal="center" vertical="center"/>
    </xf>
    <xf numFmtId="3" fontId="73" fillId="0" borderId="20" xfId="0" applyNumberFormat="1" applyFont="1" applyFill="1" applyBorder="1" applyAlignment="1">
      <alignment horizontal="center" vertical="center"/>
    </xf>
    <xf numFmtId="0" fontId="108" fillId="0" borderId="0" xfId="0" applyFont="1" applyFill="1" applyAlignment="1">
      <alignment vertical="center"/>
    </xf>
    <xf numFmtId="4" fontId="108" fillId="0" borderId="0" xfId="0" applyNumberFormat="1" applyFont="1" applyFill="1"/>
    <xf numFmtId="169" fontId="28" fillId="0" borderId="2" xfId="0" applyNumberFormat="1" applyFont="1" applyFill="1" applyBorder="1" applyAlignment="1">
      <alignment horizontal="center" vertical="center" wrapText="1"/>
    </xf>
    <xf numFmtId="169" fontId="26" fillId="0" borderId="5" xfId="0" applyNumberFormat="1" applyFont="1" applyFill="1" applyBorder="1" applyAlignment="1">
      <alignment horizontal="center" vertical="center" wrapText="1"/>
    </xf>
    <xf numFmtId="169" fontId="26" fillId="0" borderId="36" xfId="0" applyNumberFormat="1" applyFont="1" applyFill="1" applyBorder="1" applyAlignment="1">
      <alignment horizontal="center" vertical="center"/>
    </xf>
    <xf numFmtId="169" fontId="26" fillId="0" borderId="4" xfId="0" applyNumberFormat="1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center" vertical="center"/>
    </xf>
    <xf numFmtId="4" fontId="26" fillId="0" borderId="36" xfId="0" applyNumberFormat="1" applyFont="1" applyFill="1" applyBorder="1" applyAlignment="1">
      <alignment horizontal="center" vertical="center" wrapText="1"/>
    </xf>
    <xf numFmtId="0" fontId="141" fillId="0" borderId="30" xfId="0" applyFont="1" applyFill="1" applyBorder="1" applyAlignment="1"/>
    <xf numFmtId="49" fontId="32" fillId="0" borderId="36" xfId="0" applyNumberFormat="1" applyFont="1" applyFill="1" applyBorder="1" applyAlignment="1">
      <alignment horizontal="right" wrapText="1"/>
    </xf>
    <xf numFmtId="4" fontId="142" fillId="0" borderId="50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2" fillId="0" borderId="2" xfId="0" applyNumberFormat="1" applyFont="1" applyFill="1" applyBorder="1" applyAlignment="1">
      <alignment horizontal="center" vertical="center" wrapText="1"/>
    </xf>
    <xf numFmtId="2" fontId="32" fillId="0" borderId="2" xfId="0" applyNumberFormat="1" applyFont="1" applyFill="1" applyBorder="1" applyAlignment="1">
      <alignment horizontal="center" vertical="center" wrapText="1"/>
    </xf>
    <xf numFmtId="1" fontId="32" fillId="0" borderId="2" xfId="0" applyNumberFormat="1" applyFont="1" applyFill="1" applyBorder="1" applyAlignment="1">
      <alignment horizontal="center" vertical="center" wrapText="1"/>
    </xf>
    <xf numFmtId="1" fontId="32" fillId="0" borderId="5" xfId="0" applyNumberFormat="1" applyFont="1" applyFill="1" applyBorder="1" applyAlignment="1">
      <alignment horizontal="center" vertical="center" wrapText="1"/>
    </xf>
    <xf numFmtId="169" fontId="142" fillId="0" borderId="2" xfId="0" applyNumberFormat="1" applyFont="1" applyFill="1" applyBorder="1" applyAlignment="1">
      <alignment horizontal="center" vertical="center" wrapText="1"/>
    </xf>
    <xf numFmtId="169" fontId="32" fillId="0" borderId="2" xfId="0" applyNumberFormat="1" applyFont="1" applyFill="1" applyBorder="1" applyAlignment="1">
      <alignment horizontal="center" vertical="center" wrapText="1"/>
    </xf>
    <xf numFmtId="169" fontId="32" fillId="0" borderId="1" xfId="0" applyNumberFormat="1" applyFont="1" applyFill="1" applyBorder="1" applyAlignment="1">
      <alignment horizontal="center" vertical="center" wrapText="1"/>
    </xf>
    <xf numFmtId="169" fontId="32" fillId="0" borderId="5" xfId="0" applyNumberFormat="1" applyFont="1" applyFill="1" applyBorder="1" applyAlignment="1">
      <alignment horizontal="center" vertical="center" wrapText="1"/>
    </xf>
    <xf numFmtId="169" fontId="32" fillId="0" borderId="36" xfId="0" applyNumberFormat="1" applyFont="1" applyFill="1" applyBorder="1" applyAlignment="1">
      <alignment horizontal="center" vertical="center"/>
    </xf>
    <xf numFmtId="169" fontId="32" fillId="0" borderId="2" xfId="0" applyNumberFormat="1" applyFont="1" applyFill="1" applyBorder="1" applyAlignment="1">
      <alignment horizontal="center"/>
    </xf>
    <xf numFmtId="169" fontId="32" fillId="0" borderId="6" xfId="0" applyNumberFormat="1" applyFont="1" applyFill="1" applyBorder="1" applyAlignment="1">
      <alignment horizontal="center"/>
    </xf>
    <xf numFmtId="169" fontId="32" fillId="0" borderId="1" xfId="0" applyNumberFormat="1" applyFont="1" applyFill="1" applyBorder="1" applyAlignment="1">
      <alignment horizontal="center" vertical="center"/>
    </xf>
    <xf numFmtId="169" fontId="32" fillId="0" borderId="4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 wrapText="1"/>
    </xf>
    <xf numFmtId="3" fontId="32" fillId="0" borderId="2" xfId="0" applyNumberFormat="1" applyFont="1" applyFill="1" applyBorder="1" applyAlignment="1">
      <alignment horizontal="center" vertical="center"/>
    </xf>
    <xf numFmtId="4" fontId="32" fillId="0" borderId="7" xfId="0" applyNumberFormat="1" applyFont="1" applyFill="1" applyBorder="1" applyAlignment="1">
      <alignment horizontal="center" vertical="center" wrapText="1"/>
    </xf>
    <xf numFmtId="3" fontId="32" fillId="0" borderId="36" xfId="0" applyNumberFormat="1" applyFont="1" applyFill="1" applyBorder="1" applyAlignment="1">
      <alignment horizontal="center" vertical="center" wrapText="1"/>
    </xf>
    <xf numFmtId="4" fontId="32" fillId="0" borderId="36" xfId="0" applyNumberFormat="1" applyFont="1" applyFill="1" applyBorder="1" applyAlignment="1">
      <alignment horizontal="center" vertical="center" wrapText="1"/>
    </xf>
    <xf numFmtId="1" fontId="32" fillId="0" borderId="31" xfId="0" applyNumberFormat="1" applyFont="1" applyFill="1" applyBorder="1" applyAlignment="1">
      <alignment horizontal="center" vertical="center" wrapText="1"/>
    </xf>
    <xf numFmtId="1" fontId="32" fillId="0" borderId="50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1" fontId="32" fillId="0" borderId="6" xfId="0" applyNumberFormat="1" applyFont="1" applyFill="1" applyBorder="1" applyAlignment="1">
      <alignment horizontal="center" vertical="center" wrapText="1"/>
    </xf>
    <xf numFmtId="1" fontId="32" fillId="0" borderId="4" xfId="0" applyNumberFormat="1" applyFont="1" applyFill="1" applyBorder="1" applyAlignment="1">
      <alignment horizontal="center" vertical="center" wrapText="1"/>
    </xf>
    <xf numFmtId="1" fontId="32" fillId="0" borderId="7" xfId="0" applyNumberFormat="1" applyFont="1" applyFill="1" applyBorder="1" applyAlignment="1">
      <alignment horizontal="center" vertical="center" wrapText="1"/>
    </xf>
    <xf numFmtId="1" fontId="32" fillId="0" borderId="36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Fill="1" applyBorder="1" applyAlignment="1">
      <alignment horizontal="center" vertical="center"/>
    </xf>
    <xf numFmtId="1" fontId="32" fillId="0" borderId="50" xfId="0" applyNumberFormat="1" applyFont="1" applyFill="1" applyBorder="1" applyAlignment="1">
      <alignment horizontal="center" vertical="center"/>
    </xf>
    <xf numFmtId="169" fontId="32" fillId="0" borderId="50" xfId="0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1" fontId="32" fillId="0" borderId="6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/>
    <xf numFmtId="2" fontId="32" fillId="0" borderId="1" xfId="0" applyNumberFormat="1" applyFont="1" applyFill="1" applyBorder="1"/>
    <xf numFmtId="1" fontId="32" fillId="0" borderId="4" xfId="0" applyNumberFormat="1" applyFont="1" applyFill="1" applyBorder="1"/>
    <xf numFmtId="1" fontId="32" fillId="0" borderId="2" xfId="0" applyNumberFormat="1" applyFont="1" applyFill="1" applyBorder="1"/>
    <xf numFmtId="1" fontId="32" fillId="0" borderId="7" xfId="0" applyNumberFormat="1" applyFont="1" applyFill="1" applyBorder="1"/>
    <xf numFmtId="1" fontId="33" fillId="0" borderId="7" xfId="0" applyNumberFormat="1" applyFont="1" applyFill="1" applyBorder="1"/>
    <xf numFmtId="1" fontId="32" fillId="0" borderId="7" xfId="0" applyNumberFormat="1" applyFont="1" applyFill="1" applyBorder="1" applyAlignment="1">
      <alignment horizontal="center" vertical="center"/>
    </xf>
    <xf numFmtId="167" fontId="33" fillId="0" borderId="0" xfId="0" applyNumberFormat="1" applyFont="1" applyFill="1"/>
    <xf numFmtId="4" fontId="33" fillId="0" borderId="0" xfId="0" applyNumberFormat="1" applyFont="1" applyFill="1"/>
    <xf numFmtId="3" fontId="32" fillId="3" borderId="2" xfId="0" applyNumberFormat="1" applyFont="1" applyFill="1" applyBorder="1" applyAlignment="1">
      <alignment horizontal="right" vertical="center" wrapText="1"/>
    </xf>
    <xf numFmtId="3" fontId="32" fillId="3" borderId="13" xfId="3" applyNumberFormat="1" applyFont="1" applyFill="1" applyBorder="1" applyAlignment="1">
      <alignment horizontal="right" vertical="center" wrapText="1"/>
    </xf>
    <xf numFmtId="49" fontId="143" fillId="0" borderId="36" xfId="0" applyNumberFormat="1" applyFont="1" applyFill="1" applyBorder="1" applyAlignment="1">
      <alignment horizontal="right" wrapText="1"/>
    </xf>
    <xf numFmtId="3" fontId="143" fillId="0" borderId="2" xfId="0" applyNumberFormat="1" applyFont="1" applyFill="1" applyBorder="1" applyAlignment="1">
      <alignment horizontal="right" vertical="center" wrapText="1"/>
    </xf>
    <xf numFmtId="3" fontId="143" fillId="0" borderId="13" xfId="3" applyNumberFormat="1" applyFont="1" applyFill="1" applyBorder="1" applyAlignment="1">
      <alignment horizontal="right" vertical="center" wrapText="1"/>
    </xf>
    <xf numFmtId="3" fontId="78" fillId="0" borderId="19" xfId="0" applyNumberFormat="1" applyFont="1" applyFill="1" applyBorder="1" applyAlignment="1">
      <alignment horizontal="center" vertical="center" wrapText="1"/>
    </xf>
    <xf numFmtId="3" fontId="78" fillId="0" borderId="13" xfId="3" applyNumberFormat="1" applyFont="1" applyFill="1" applyBorder="1" applyAlignment="1">
      <alignment horizontal="center" vertical="center" wrapText="1"/>
    </xf>
    <xf numFmtId="1" fontId="69" fillId="0" borderId="3" xfId="0" applyNumberFormat="1" applyFont="1" applyFill="1" applyBorder="1" applyAlignment="1">
      <alignment horizontal="center" vertical="center" wrapText="1"/>
    </xf>
    <xf numFmtId="2" fontId="69" fillId="0" borderId="3" xfId="0" applyNumberFormat="1" applyFont="1" applyFill="1" applyBorder="1" applyAlignment="1">
      <alignment horizontal="center" vertical="center"/>
    </xf>
    <xf numFmtId="4" fontId="69" fillId="0" borderId="3" xfId="0" applyNumberFormat="1" applyFont="1" applyFill="1" applyBorder="1" applyAlignment="1">
      <alignment horizontal="center" vertical="center"/>
    </xf>
    <xf numFmtId="1" fontId="69" fillId="0" borderId="20" xfId="0" applyNumberFormat="1" applyFont="1" applyFill="1" applyBorder="1" applyAlignment="1">
      <alignment horizontal="center" vertical="center"/>
    </xf>
    <xf numFmtId="1" fontId="69" fillId="0" borderId="43" xfId="0" applyNumberFormat="1" applyFont="1" applyFill="1" applyBorder="1" applyAlignment="1">
      <alignment horizontal="left" vertical="center" wrapText="1"/>
    </xf>
    <xf numFmtId="3" fontId="69" fillId="0" borderId="12" xfId="3" applyNumberFormat="1" applyFont="1" applyFill="1" applyBorder="1" applyAlignment="1">
      <alignment horizontal="center" vertical="center" wrapText="1"/>
    </xf>
    <xf numFmtId="169" fontId="144" fillId="0" borderId="2" xfId="0" applyNumberFormat="1" applyFont="1" applyFill="1" applyBorder="1" applyAlignment="1">
      <alignment horizontal="center" vertical="center" wrapText="1"/>
    </xf>
    <xf numFmtId="169" fontId="144" fillId="0" borderId="2" xfId="0" applyNumberFormat="1" applyFont="1" applyFill="1" applyBorder="1" applyAlignment="1" applyProtection="1">
      <alignment horizontal="center" vertical="center" wrapText="1"/>
      <protection locked="0"/>
    </xf>
    <xf numFmtId="169" fontId="110" fillId="0" borderId="3" xfId="0" applyNumberFormat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 wrapText="1"/>
    </xf>
    <xf numFmtId="3" fontId="7" fillId="0" borderId="19" xfId="3" applyNumberFormat="1" applyFont="1" applyFill="1" applyBorder="1" applyAlignment="1">
      <alignment horizontal="center" vertical="center" wrapText="1"/>
    </xf>
    <xf numFmtId="169" fontId="30" fillId="0" borderId="43" xfId="0" applyNumberFormat="1" applyFont="1" applyFill="1" applyBorder="1" applyAlignment="1">
      <alignment horizontal="center" vertical="center"/>
    </xf>
    <xf numFmtId="1" fontId="30" fillId="0" borderId="50" xfId="0" applyNumberFormat="1" applyFont="1" applyFill="1" applyBorder="1" applyAlignment="1">
      <alignment horizontal="center" vertical="center" wrapText="1"/>
    </xf>
    <xf numFmtId="4" fontId="11" fillId="0" borderId="42" xfId="0" applyNumberFormat="1" applyFont="1" applyFill="1" applyBorder="1" applyAlignment="1">
      <alignment horizontal="center" vertical="center" wrapText="1"/>
    </xf>
    <xf numFmtId="3" fontId="98" fillId="3" borderId="19" xfId="1" applyNumberFormat="1" applyFont="1" applyFill="1" applyBorder="1" applyAlignment="1">
      <alignment vertical="center"/>
    </xf>
    <xf numFmtId="3" fontId="98" fillId="3" borderId="3" xfId="1" applyNumberFormat="1" applyFont="1" applyFill="1" applyBorder="1" applyAlignment="1">
      <alignment vertical="center"/>
    </xf>
    <xf numFmtId="3" fontId="99" fillId="3" borderId="13" xfId="1" applyNumberFormat="1" applyFont="1" applyFill="1" applyBorder="1" applyAlignment="1">
      <alignment vertical="center"/>
    </xf>
    <xf numFmtId="3" fontId="100" fillId="3" borderId="0" xfId="0" applyNumberFormat="1" applyFont="1" applyFill="1"/>
    <xf numFmtId="0" fontId="101" fillId="3" borderId="0" xfId="0" applyFont="1" applyFill="1"/>
    <xf numFmtId="49" fontId="96" fillId="3" borderId="43" xfId="0" applyNumberFormat="1" applyFont="1" applyFill="1" applyBorder="1" applyAlignment="1">
      <alignment horizontal="right" vertical="center" wrapText="1"/>
    </xf>
    <xf numFmtId="49" fontId="23" fillId="3" borderId="43" xfId="0" applyNumberFormat="1" applyFont="1" applyFill="1" applyBorder="1" applyAlignment="1">
      <alignment horizontal="left" wrapText="1"/>
    </xf>
    <xf numFmtId="0" fontId="36" fillId="0" borderId="20" xfId="0" applyFont="1" applyBorder="1" applyAlignment="1">
      <alignment horizontal="center" vertical="center" wrapText="1"/>
    </xf>
    <xf numFmtId="167" fontId="6" fillId="7" borderId="30" xfId="0" applyNumberFormat="1" applyFont="1" applyFill="1" applyBorder="1" applyAlignment="1">
      <alignment vertical="center" textRotation="90" wrapText="1"/>
    </xf>
    <xf numFmtId="0" fontId="106" fillId="7" borderId="36" xfId="0" applyNumberFormat="1" applyFont="1" applyFill="1" applyBorder="1" applyAlignment="1">
      <alignment horizontal="left" vertical="center" wrapText="1"/>
    </xf>
    <xf numFmtId="3" fontId="106" fillId="7" borderId="2" xfId="0" applyNumberFormat="1" applyFont="1" applyFill="1" applyBorder="1" applyAlignment="1">
      <alignment horizontal="center" vertical="center" wrapText="1"/>
    </xf>
    <xf numFmtId="3" fontId="106" fillId="7" borderId="4" xfId="3" applyNumberFormat="1" applyFont="1" applyFill="1" applyBorder="1" applyAlignment="1">
      <alignment horizontal="center" vertical="center" wrapText="1"/>
    </xf>
    <xf numFmtId="165" fontId="28" fillId="7" borderId="50" xfId="0" applyNumberFormat="1" applyFont="1" applyFill="1" applyBorder="1" applyAlignment="1">
      <alignment horizontal="center" vertical="center" wrapText="1"/>
    </xf>
    <xf numFmtId="165" fontId="26" fillId="7" borderId="2" xfId="0" applyNumberFormat="1" applyFont="1" applyFill="1" applyBorder="1" applyAlignment="1">
      <alignment horizontal="center" vertical="center" wrapText="1"/>
    </xf>
    <xf numFmtId="165" fontId="26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26" fillId="7" borderId="5" xfId="0" applyNumberFormat="1" applyFont="1" applyFill="1" applyBorder="1" applyAlignment="1">
      <alignment horizontal="center" vertical="center" wrapText="1"/>
    </xf>
    <xf numFmtId="4" fontId="26" fillId="7" borderId="2" xfId="0" applyNumberFormat="1" applyFont="1" applyFill="1" applyBorder="1" applyAlignment="1">
      <alignment horizontal="center" vertical="center" wrapText="1"/>
    </xf>
    <xf numFmtId="4" fontId="26" fillId="7" borderId="1" xfId="0" applyNumberFormat="1" applyFont="1" applyFill="1" applyBorder="1" applyAlignment="1">
      <alignment horizontal="center" vertical="center" wrapText="1"/>
    </xf>
    <xf numFmtId="4" fontId="26" fillId="7" borderId="5" xfId="0" applyNumberFormat="1" applyFont="1" applyFill="1" applyBorder="1" applyAlignment="1">
      <alignment horizontal="center" vertical="center" wrapText="1"/>
    </xf>
    <xf numFmtId="3" fontId="26" fillId="7" borderId="36" xfId="0" applyNumberFormat="1" applyFont="1" applyFill="1" applyBorder="1" applyAlignment="1">
      <alignment horizontal="center"/>
    </xf>
    <xf numFmtId="169" fontId="26" fillId="7" borderId="2" xfId="0" applyNumberFormat="1" applyFont="1" applyFill="1" applyBorder="1" applyAlignment="1">
      <alignment horizontal="center"/>
    </xf>
    <xf numFmtId="169" fontId="26" fillId="7" borderId="6" xfId="0" applyNumberFormat="1" applyFont="1" applyFill="1" applyBorder="1" applyAlignment="1">
      <alignment horizontal="center"/>
    </xf>
    <xf numFmtId="169" fontId="26" fillId="7" borderId="1" xfId="0" applyNumberFormat="1" applyFont="1" applyFill="1" applyBorder="1" applyAlignment="1">
      <alignment horizontal="center"/>
    </xf>
    <xf numFmtId="169" fontId="26" fillId="7" borderId="4" xfId="0" applyNumberFormat="1" applyFont="1" applyFill="1" applyBorder="1" applyAlignment="1">
      <alignment horizontal="center"/>
    </xf>
    <xf numFmtId="4" fontId="26" fillId="7" borderId="2" xfId="0" applyNumberFormat="1" applyFont="1" applyFill="1" applyBorder="1" applyAlignment="1">
      <alignment horizontal="center"/>
    </xf>
    <xf numFmtId="3" fontId="26" fillId="7" borderId="1" xfId="0" applyNumberFormat="1" applyFont="1" applyFill="1" applyBorder="1" applyAlignment="1">
      <alignment horizontal="center" vertical="center" wrapText="1"/>
    </xf>
    <xf numFmtId="3" fontId="26" fillId="7" borderId="2" xfId="0" applyNumberFormat="1" applyFont="1" applyFill="1" applyBorder="1" applyAlignment="1">
      <alignment horizontal="center"/>
    </xf>
    <xf numFmtId="4" fontId="26" fillId="7" borderId="7" xfId="0" applyNumberFormat="1" applyFont="1" applyFill="1" applyBorder="1" applyAlignment="1">
      <alignment horizontal="center" vertical="center" wrapText="1"/>
    </xf>
    <xf numFmtId="3" fontId="26" fillId="7" borderId="36" xfId="0" applyNumberFormat="1" applyFont="1" applyFill="1" applyBorder="1" applyAlignment="1">
      <alignment horizontal="center" vertical="center" wrapText="1"/>
    </xf>
    <xf numFmtId="1" fontId="26" fillId="7" borderId="31" xfId="0" applyNumberFormat="1" applyFont="1" applyFill="1" applyBorder="1" applyAlignment="1">
      <alignment horizontal="center" vertical="center" wrapText="1"/>
    </xf>
    <xf numFmtId="1" fontId="26" fillId="7" borderId="50" xfId="0" applyNumberFormat="1" applyFont="1" applyFill="1" applyBorder="1" applyAlignment="1">
      <alignment horizontal="center" vertical="center" wrapText="1"/>
    </xf>
    <xf numFmtId="1" fontId="26" fillId="7" borderId="1" xfId="0" applyNumberFormat="1" applyFont="1" applyFill="1" applyBorder="1" applyAlignment="1">
      <alignment horizontal="center" vertical="center" wrapText="1"/>
    </xf>
    <xf numFmtId="1" fontId="26" fillId="7" borderId="6" xfId="0" applyNumberFormat="1" applyFont="1" applyFill="1" applyBorder="1" applyAlignment="1">
      <alignment horizontal="center" vertical="center" wrapText="1"/>
    </xf>
    <xf numFmtId="169" fontId="26" fillId="7" borderId="1" xfId="0" applyNumberFormat="1" applyFont="1" applyFill="1" applyBorder="1" applyAlignment="1">
      <alignment horizontal="center" vertical="center" wrapText="1"/>
    </xf>
    <xf numFmtId="1" fontId="26" fillId="7" borderId="4" xfId="0" applyNumberFormat="1" applyFont="1" applyFill="1" applyBorder="1" applyAlignment="1">
      <alignment horizontal="center" vertical="center" wrapText="1"/>
    </xf>
    <xf numFmtId="1" fontId="26" fillId="7" borderId="2" xfId="0" applyNumberFormat="1" applyFont="1" applyFill="1" applyBorder="1" applyAlignment="1">
      <alignment horizontal="center" vertical="center" wrapText="1"/>
    </xf>
    <xf numFmtId="1" fontId="26" fillId="7" borderId="7" xfId="0" applyNumberFormat="1" applyFont="1" applyFill="1" applyBorder="1" applyAlignment="1">
      <alignment horizontal="center" vertical="center" wrapText="1"/>
    </xf>
    <xf numFmtId="1" fontId="26" fillId="7" borderId="36" xfId="0" applyNumberFormat="1" applyFont="1" applyFill="1" applyBorder="1" applyAlignment="1">
      <alignment horizontal="center" vertical="center" wrapText="1"/>
    </xf>
    <xf numFmtId="1" fontId="26" fillId="7" borderId="1" xfId="0" applyNumberFormat="1" applyFont="1" applyFill="1" applyBorder="1" applyAlignment="1">
      <alignment horizontal="center" vertical="center"/>
    </xf>
    <xf numFmtId="1" fontId="26" fillId="7" borderId="4" xfId="0" applyNumberFormat="1" applyFont="1" applyFill="1" applyBorder="1" applyAlignment="1">
      <alignment horizontal="center" vertical="center"/>
    </xf>
    <xf numFmtId="1" fontId="26" fillId="7" borderId="50" xfId="0" applyNumberFormat="1" applyFont="1" applyFill="1" applyBorder="1" applyAlignment="1">
      <alignment horizontal="center" vertical="center"/>
    </xf>
    <xf numFmtId="169" fontId="26" fillId="7" borderId="50" xfId="0" applyNumberFormat="1" applyFont="1" applyFill="1" applyBorder="1" applyAlignment="1">
      <alignment horizontal="center" vertical="center"/>
    </xf>
    <xf numFmtId="169" fontId="26" fillId="7" borderId="1" xfId="0" applyNumberFormat="1" applyFont="1" applyFill="1" applyBorder="1" applyAlignment="1">
      <alignment horizontal="center" vertical="center"/>
    </xf>
    <xf numFmtId="1" fontId="26" fillId="7" borderId="2" xfId="0" applyNumberFormat="1" applyFont="1" applyFill="1" applyBorder="1" applyAlignment="1">
      <alignment horizontal="center" vertical="center"/>
    </xf>
    <xf numFmtId="3" fontId="26" fillId="7" borderId="1" xfId="0" applyNumberFormat="1" applyFont="1" applyFill="1" applyBorder="1" applyAlignment="1">
      <alignment horizontal="center" vertical="center"/>
    </xf>
    <xf numFmtId="1" fontId="26" fillId="7" borderId="6" xfId="0" applyNumberFormat="1" applyFont="1" applyFill="1" applyBorder="1" applyAlignment="1">
      <alignment horizontal="center" vertical="center"/>
    </xf>
    <xf numFmtId="1" fontId="26" fillId="7" borderId="2" xfId="0" applyNumberFormat="1" applyFont="1" applyFill="1" applyBorder="1"/>
    <xf numFmtId="1" fontId="26" fillId="7" borderId="1" xfId="0" applyNumberFormat="1" applyFont="1" applyFill="1" applyBorder="1"/>
    <xf numFmtId="2" fontId="26" fillId="7" borderId="1" xfId="0" applyNumberFormat="1" applyFont="1" applyFill="1" applyBorder="1"/>
    <xf numFmtId="1" fontId="26" fillId="7" borderId="4" xfId="0" applyNumberFormat="1" applyFont="1" applyFill="1" applyBorder="1"/>
    <xf numFmtId="1" fontId="26" fillId="7" borderId="7" xfId="0" applyNumberFormat="1" applyFont="1" applyFill="1" applyBorder="1"/>
    <xf numFmtId="1" fontId="26" fillId="7" borderId="7" xfId="0" applyNumberFormat="1" applyFont="1" applyFill="1" applyBorder="1" applyAlignment="1">
      <alignment horizontal="left" vertical="top"/>
    </xf>
    <xf numFmtId="1" fontId="6" fillId="7" borderId="7" xfId="0" applyNumberFormat="1" applyFont="1" applyFill="1" applyBorder="1"/>
    <xf numFmtId="1" fontId="26" fillId="7" borderId="7" xfId="0" applyNumberFormat="1" applyFont="1" applyFill="1" applyBorder="1" applyAlignment="1">
      <alignment horizontal="center" vertical="center"/>
    </xf>
    <xf numFmtId="167" fontId="10" fillId="7" borderId="0" xfId="0" applyNumberFormat="1" applyFont="1" applyFill="1"/>
    <xf numFmtId="4" fontId="10" fillId="7" borderId="0" xfId="0" applyNumberFormat="1" applyFont="1" applyFill="1"/>
    <xf numFmtId="0" fontId="34" fillId="7" borderId="30" xfId="0" applyFont="1" applyFill="1" applyBorder="1" applyAlignment="1"/>
    <xf numFmtId="49" fontId="107" fillId="7" borderId="36" xfId="0" applyNumberFormat="1" applyFont="1" applyFill="1" applyBorder="1" applyAlignment="1">
      <alignment wrapText="1"/>
    </xf>
    <xf numFmtId="3" fontId="107" fillId="7" borderId="19" xfId="0" applyNumberFormat="1" applyFont="1" applyFill="1" applyBorder="1" applyAlignment="1">
      <alignment horizontal="center" vertical="center" wrapText="1"/>
    </xf>
    <xf numFmtId="3" fontId="107" fillId="7" borderId="13" xfId="3" applyNumberFormat="1" applyFont="1" applyFill="1" applyBorder="1" applyAlignment="1">
      <alignment horizontal="center" vertical="center" wrapText="1"/>
    </xf>
    <xf numFmtId="4" fontId="72" fillId="7" borderId="50" xfId="0" applyNumberFormat="1" applyFont="1" applyFill="1" applyBorder="1" applyAlignment="1">
      <alignment horizontal="center" vertical="center" wrapText="1"/>
    </xf>
    <xf numFmtId="4" fontId="30" fillId="7" borderId="2" xfId="0" applyNumberFormat="1" applyFont="1" applyFill="1" applyBorder="1" applyAlignment="1">
      <alignment horizontal="center" vertical="center" wrapText="1"/>
    </xf>
    <xf numFmtId="4" fontId="30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30" fillId="7" borderId="2" xfId="0" applyNumberFormat="1" applyFont="1" applyFill="1" applyBorder="1" applyAlignment="1">
      <alignment horizontal="center" vertical="center" wrapText="1"/>
    </xf>
    <xf numFmtId="2" fontId="30" fillId="7" borderId="2" xfId="0" applyNumberFormat="1" applyFont="1" applyFill="1" applyBorder="1" applyAlignment="1">
      <alignment horizontal="center" vertical="center" wrapText="1"/>
    </xf>
    <xf numFmtId="1" fontId="30" fillId="7" borderId="2" xfId="0" applyNumberFormat="1" applyFont="1" applyFill="1" applyBorder="1" applyAlignment="1">
      <alignment horizontal="center" vertical="center" wrapText="1"/>
    </xf>
    <xf numFmtId="1" fontId="30" fillId="7" borderId="5" xfId="0" applyNumberFormat="1" applyFont="1" applyFill="1" applyBorder="1" applyAlignment="1">
      <alignment horizontal="center" vertical="center" wrapText="1"/>
    </xf>
    <xf numFmtId="169" fontId="30" fillId="7" borderId="19" xfId="0" applyNumberFormat="1" applyFont="1" applyFill="1" applyBorder="1" applyAlignment="1">
      <alignment horizontal="center" vertical="center" wrapText="1"/>
    </xf>
    <xf numFmtId="169" fontId="30" fillId="7" borderId="3" xfId="0" applyNumberFormat="1" applyFont="1" applyFill="1" applyBorder="1" applyAlignment="1">
      <alignment horizontal="center" vertical="center" wrapText="1"/>
    </xf>
    <xf numFmtId="169" fontId="26" fillId="7" borderId="21" xfId="0" applyNumberFormat="1" applyFont="1" applyFill="1" applyBorder="1" applyAlignment="1">
      <alignment horizontal="center" vertical="center" wrapText="1"/>
    </xf>
    <xf numFmtId="169" fontId="26" fillId="7" borderId="43" xfId="0" applyNumberFormat="1" applyFont="1" applyFill="1" applyBorder="1" applyAlignment="1">
      <alignment horizontal="center" vertical="center"/>
    </xf>
    <xf numFmtId="169" fontId="26" fillId="7" borderId="19" xfId="0" applyNumberFormat="1" applyFont="1" applyFill="1" applyBorder="1" applyAlignment="1">
      <alignment horizontal="center" vertical="center"/>
    </xf>
    <xf numFmtId="169" fontId="26" fillId="7" borderId="20" xfId="0" applyNumberFormat="1" applyFont="1" applyFill="1" applyBorder="1" applyAlignment="1">
      <alignment horizontal="center" vertical="center"/>
    </xf>
    <xf numFmtId="169" fontId="26" fillId="7" borderId="3" xfId="0" applyNumberFormat="1" applyFont="1" applyFill="1" applyBorder="1" applyAlignment="1">
      <alignment horizontal="center" vertical="center"/>
    </xf>
    <xf numFmtId="169" fontId="26" fillId="7" borderId="13" xfId="0" applyNumberFormat="1" applyFont="1" applyFill="1" applyBorder="1" applyAlignment="1">
      <alignment horizontal="center" vertical="center"/>
    </xf>
    <xf numFmtId="4" fontId="26" fillId="7" borderId="19" xfId="0" applyNumberFormat="1" applyFont="1" applyFill="1" applyBorder="1" applyAlignment="1">
      <alignment horizontal="center" vertical="center"/>
    </xf>
    <xf numFmtId="4" fontId="26" fillId="7" borderId="3" xfId="0" applyNumberFormat="1" applyFont="1" applyFill="1" applyBorder="1" applyAlignment="1">
      <alignment horizontal="center" vertical="center" wrapText="1"/>
    </xf>
    <xf numFmtId="3" fontId="26" fillId="7" borderId="19" xfId="0" applyNumberFormat="1" applyFont="1" applyFill="1" applyBorder="1" applyAlignment="1">
      <alignment horizontal="center" vertical="center"/>
    </xf>
    <xf numFmtId="4" fontId="26" fillId="7" borderId="13" xfId="0" applyNumberFormat="1" applyFont="1" applyFill="1" applyBorder="1" applyAlignment="1">
      <alignment horizontal="center" vertical="center" wrapText="1"/>
    </xf>
    <xf numFmtId="3" fontId="26" fillId="7" borderId="43" xfId="0" applyNumberFormat="1" applyFont="1" applyFill="1" applyBorder="1" applyAlignment="1">
      <alignment horizontal="center" vertical="center" wrapText="1"/>
    </xf>
    <xf numFmtId="169" fontId="26" fillId="7" borderId="43" xfId="0" applyNumberFormat="1" applyFont="1" applyFill="1" applyBorder="1" applyAlignment="1">
      <alignment horizontal="center" vertical="center" wrapText="1"/>
    </xf>
    <xf numFmtId="1" fontId="30" fillId="7" borderId="31" xfId="0" applyNumberFormat="1" applyFont="1" applyFill="1" applyBorder="1" applyAlignment="1">
      <alignment horizontal="center" vertical="center" wrapText="1"/>
    </xf>
    <xf numFmtId="1" fontId="30" fillId="7" borderId="50" xfId="0" applyNumberFormat="1" applyFont="1" applyFill="1" applyBorder="1" applyAlignment="1">
      <alignment horizontal="center" vertical="center" wrapText="1"/>
    </xf>
    <xf numFmtId="1" fontId="30" fillId="7" borderId="1" xfId="0" applyNumberFormat="1" applyFont="1" applyFill="1" applyBorder="1" applyAlignment="1">
      <alignment horizontal="center" vertical="center" wrapText="1"/>
    </xf>
    <xf numFmtId="1" fontId="30" fillId="7" borderId="6" xfId="0" applyNumberFormat="1" applyFont="1" applyFill="1" applyBorder="1" applyAlignment="1">
      <alignment horizontal="center" vertical="center" wrapText="1"/>
    </xf>
    <xf numFmtId="169" fontId="30" fillId="7" borderId="1" xfId="0" applyNumberFormat="1" applyFont="1" applyFill="1" applyBorder="1" applyAlignment="1">
      <alignment horizontal="center" vertical="center" wrapText="1"/>
    </xf>
    <xf numFmtId="1" fontId="30" fillId="7" borderId="4" xfId="0" applyNumberFormat="1" applyFont="1" applyFill="1" applyBorder="1" applyAlignment="1">
      <alignment horizontal="center" vertical="center" wrapText="1"/>
    </xf>
    <xf numFmtId="1" fontId="30" fillId="7" borderId="19" xfId="0" applyNumberFormat="1" applyFont="1" applyFill="1" applyBorder="1" applyAlignment="1">
      <alignment horizontal="center" vertical="center" wrapText="1"/>
    </xf>
    <xf numFmtId="1" fontId="30" fillId="7" borderId="51" xfId="0" applyNumberFormat="1" applyFont="1" applyFill="1" applyBorder="1" applyAlignment="1">
      <alignment horizontal="center" vertical="center" wrapText="1"/>
    </xf>
    <xf numFmtId="1" fontId="30" fillId="7" borderId="7" xfId="0" applyNumberFormat="1" applyFont="1" applyFill="1" applyBorder="1" applyAlignment="1">
      <alignment horizontal="center" vertical="center" wrapText="1"/>
    </xf>
    <xf numFmtId="1" fontId="30" fillId="7" borderId="36" xfId="0" applyNumberFormat="1" applyFont="1" applyFill="1" applyBorder="1" applyAlignment="1">
      <alignment horizontal="center" vertical="center" wrapText="1"/>
    </xf>
    <xf numFmtId="1" fontId="30" fillId="7" borderId="1" xfId="0" applyNumberFormat="1" applyFont="1" applyFill="1" applyBorder="1" applyAlignment="1">
      <alignment horizontal="center" vertical="center"/>
    </xf>
    <xf numFmtId="1" fontId="30" fillId="7" borderId="4" xfId="0" applyNumberFormat="1" applyFont="1" applyFill="1" applyBorder="1" applyAlignment="1">
      <alignment horizontal="center" vertical="center"/>
    </xf>
    <xf numFmtId="1" fontId="30" fillId="7" borderId="50" xfId="0" applyNumberFormat="1" applyFont="1" applyFill="1" applyBorder="1" applyAlignment="1">
      <alignment horizontal="center" vertical="center"/>
    </xf>
    <xf numFmtId="169" fontId="30" fillId="7" borderId="50" xfId="0" applyNumberFormat="1" applyFont="1" applyFill="1" applyBorder="1" applyAlignment="1">
      <alignment horizontal="center" vertical="center"/>
    </xf>
    <xf numFmtId="169" fontId="30" fillId="7" borderId="1" xfId="0" applyNumberFormat="1" applyFont="1" applyFill="1" applyBorder="1" applyAlignment="1">
      <alignment horizontal="center" vertical="center"/>
    </xf>
    <xf numFmtId="1" fontId="30" fillId="7" borderId="2" xfId="0" applyNumberFormat="1" applyFont="1" applyFill="1" applyBorder="1" applyAlignment="1">
      <alignment horizontal="center" vertical="center"/>
    </xf>
    <xf numFmtId="3" fontId="30" fillId="7" borderId="1" xfId="0" applyNumberFormat="1" applyFont="1" applyFill="1" applyBorder="1" applyAlignment="1">
      <alignment horizontal="center" vertical="center"/>
    </xf>
    <xf numFmtId="1" fontId="30" fillId="7" borderId="6" xfId="0" applyNumberFormat="1" applyFont="1" applyFill="1" applyBorder="1" applyAlignment="1">
      <alignment horizontal="center" vertical="center"/>
    </xf>
    <xf numFmtId="1" fontId="30" fillId="7" borderId="2" xfId="0" applyNumberFormat="1" applyFont="1" applyFill="1" applyBorder="1"/>
    <xf numFmtId="1" fontId="30" fillId="7" borderId="1" xfId="0" applyNumberFormat="1" applyFont="1" applyFill="1" applyBorder="1"/>
    <xf numFmtId="2" fontId="30" fillId="7" borderId="1" xfId="0" applyNumberFormat="1" applyFont="1" applyFill="1" applyBorder="1"/>
    <xf numFmtId="1" fontId="30" fillId="7" borderId="4" xfId="0" applyNumberFormat="1" applyFont="1" applyFill="1" applyBorder="1"/>
    <xf numFmtId="1" fontId="30" fillId="7" borderId="7" xfId="0" applyNumberFormat="1" applyFont="1" applyFill="1" applyBorder="1"/>
    <xf numFmtId="1" fontId="68" fillId="7" borderId="7" xfId="0" applyNumberFormat="1" applyFont="1" applyFill="1" applyBorder="1"/>
    <xf numFmtId="1" fontId="30" fillId="7" borderId="7" xfId="0" applyNumberFormat="1" applyFont="1" applyFill="1" applyBorder="1" applyAlignment="1">
      <alignment horizontal="center" vertical="center"/>
    </xf>
    <xf numFmtId="167" fontId="75" fillId="7" borderId="0" xfId="0" applyNumberFormat="1" applyFont="1" applyFill="1"/>
    <xf numFmtId="4" fontId="75" fillId="7" borderId="0" xfId="0" applyNumberFormat="1" applyFont="1" applyFill="1"/>
    <xf numFmtId="0" fontId="0" fillId="7" borderId="30" xfId="0" applyFill="1" applyBorder="1" applyAlignment="1"/>
    <xf numFmtId="4" fontId="28" fillId="7" borderId="50" xfId="0" applyNumberFormat="1" applyFont="1" applyFill="1" applyBorder="1" applyAlignment="1">
      <alignment horizontal="center" vertical="center" wrapText="1"/>
    </xf>
    <xf numFmtId="4" fontId="26" fillId="7" borderId="2" xfId="0" applyNumberFormat="1" applyFont="1" applyFill="1" applyBorder="1" applyAlignment="1" applyProtection="1">
      <alignment horizontal="center" vertical="center" wrapText="1"/>
      <protection locked="0"/>
    </xf>
    <xf numFmtId="2" fontId="26" fillId="7" borderId="2" xfId="0" applyNumberFormat="1" applyFont="1" applyFill="1" applyBorder="1" applyAlignment="1">
      <alignment horizontal="center" vertical="center" wrapText="1"/>
    </xf>
    <xf numFmtId="169" fontId="28" fillId="7" borderId="19" xfId="0" applyNumberFormat="1" applyFont="1" applyFill="1" applyBorder="1" applyAlignment="1">
      <alignment horizontal="center" vertical="center" wrapText="1"/>
    </xf>
    <xf numFmtId="169" fontId="26" fillId="7" borderId="19" xfId="0" applyNumberFormat="1" applyFont="1" applyFill="1" applyBorder="1" applyAlignment="1">
      <alignment horizontal="center" vertical="center" wrapText="1"/>
    </xf>
    <xf numFmtId="169" fontId="26" fillId="7" borderId="3" xfId="0" applyNumberFormat="1" applyFont="1" applyFill="1" applyBorder="1" applyAlignment="1">
      <alignment horizontal="center" vertical="center" wrapText="1"/>
    </xf>
    <xf numFmtId="169" fontId="26" fillId="7" borderId="19" xfId="0" applyNumberFormat="1" applyFont="1" applyFill="1" applyBorder="1" applyAlignment="1">
      <alignment horizontal="center"/>
    </xf>
    <xf numFmtId="169" fontId="26" fillId="7" borderId="20" xfId="0" applyNumberFormat="1" applyFont="1" applyFill="1" applyBorder="1" applyAlignment="1">
      <alignment horizontal="center"/>
    </xf>
    <xf numFmtId="4" fontId="26" fillId="7" borderId="19" xfId="0" applyNumberFormat="1" applyFont="1" applyFill="1" applyBorder="1" applyAlignment="1">
      <alignment horizontal="center"/>
    </xf>
    <xf numFmtId="3" fontId="26" fillId="7" borderId="19" xfId="0" applyNumberFormat="1" applyFont="1" applyFill="1" applyBorder="1" applyAlignment="1">
      <alignment horizontal="center"/>
    </xf>
    <xf numFmtId="4" fontId="26" fillId="7" borderId="45" xfId="0" applyNumberFormat="1" applyFont="1" applyFill="1" applyBorder="1" applyAlignment="1">
      <alignment horizontal="center" vertical="center" wrapText="1"/>
    </xf>
    <xf numFmtId="4" fontId="26" fillId="7" borderId="43" xfId="0" applyNumberFormat="1" applyFont="1" applyFill="1" applyBorder="1" applyAlignment="1">
      <alignment horizontal="center" vertical="center" wrapText="1"/>
    </xf>
    <xf numFmtId="1" fontId="26" fillId="7" borderId="19" xfId="0" applyNumberFormat="1" applyFont="1" applyFill="1" applyBorder="1" applyAlignment="1">
      <alignment horizontal="center" vertical="center" wrapText="1"/>
    </xf>
    <xf numFmtId="165" fontId="26" fillId="7" borderId="7" xfId="0" applyNumberFormat="1" applyFont="1" applyFill="1" applyBorder="1" applyAlignment="1">
      <alignment horizontal="center" vertical="center" wrapText="1"/>
    </xf>
    <xf numFmtId="1" fontId="26" fillId="7" borderId="51" xfId="0" applyNumberFormat="1" applyFont="1" applyFill="1" applyBorder="1" applyAlignment="1">
      <alignment horizontal="center" vertical="center" wrapText="1"/>
    </xf>
    <xf numFmtId="0" fontId="145" fillId="7" borderId="30" xfId="0" applyFont="1" applyFill="1" applyBorder="1" applyAlignment="1"/>
    <xf numFmtId="49" fontId="107" fillId="7" borderId="36" xfId="0" applyNumberFormat="1" applyFont="1" applyFill="1" applyBorder="1" applyAlignment="1">
      <alignment horizontal="right" vertical="center" wrapText="1"/>
    </xf>
    <xf numFmtId="3" fontId="106" fillId="7" borderId="19" xfId="0" applyNumberFormat="1" applyFont="1" applyFill="1" applyBorder="1" applyAlignment="1">
      <alignment horizontal="center" vertical="center" wrapText="1"/>
    </xf>
    <xf numFmtId="3" fontId="106" fillId="7" borderId="13" xfId="3" applyNumberFormat="1" applyFont="1" applyFill="1" applyBorder="1" applyAlignment="1">
      <alignment horizontal="center" vertical="center" wrapText="1"/>
    </xf>
    <xf numFmtId="4" fontId="106" fillId="7" borderId="50" xfId="0" applyNumberFormat="1" applyFont="1" applyFill="1" applyBorder="1" applyAlignment="1">
      <alignment horizontal="center" vertical="center" wrapText="1"/>
    </xf>
    <xf numFmtId="4" fontId="107" fillId="7" borderId="2" xfId="0" applyNumberFormat="1" applyFont="1" applyFill="1" applyBorder="1" applyAlignment="1">
      <alignment horizontal="center" vertical="center" wrapText="1"/>
    </xf>
    <xf numFmtId="4" fontId="107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107" fillId="7" borderId="2" xfId="0" applyNumberFormat="1" applyFont="1" applyFill="1" applyBorder="1" applyAlignment="1">
      <alignment horizontal="center" vertical="center" wrapText="1"/>
    </xf>
    <xf numFmtId="2" fontId="107" fillId="7" borderId="2" xfId="0" applyNumberFormat="1" applyFont="1" applyFill="1" applyBorder="1" applyAlignment="1">
      <alignment horizontal="center" vertical="center" wrapText="1"/>
    </xf>
    <xf numFmtId="1" fontId="107" fillId="7" borderId="2" xfId="0" applyNumberFormat="1" applyFont="1" applyFill="1" applyBorder="1" applyAlignment="1">
      <alignment horizontal="center" vertical="center" wrapText="1"/>
    </xf>
    <xf numFmtId="1" fontId="107" fillId="7" borderId="5" xfId="0" applyNumberFormat="1" applyFont="1" applyFill="1" applyBorder="1" applyAlignment="1">
      <alignment horizontal="center" vertical="center" wrapText="1"/>
    </xf>
    <xf numFmtId="169" fontId="107" fillId="7" borderId="19" xfId="0" applyNumberFormat="1" applyFont="1" applyFill="1" applyBorder="1" applyAlignment="1">
      <alignment horizontal="center" vertical="center" wrapText="1"/>
    </xf>
    <xf numFmtId="169" fontId="107" fillId="7" borderId="3" xfId="0" applyNumberFormat="1" applyFont="1" applyFill="1" applyBorder="1" applyAlignment="1">
      <alignment horizontal="center" vertical="center" wrapText="1"/>
    </xf>
    <xf numFmtId="169" fontId="107" fillId="7" borderId="21" xfId="0" applyNumberFormat="1" applyFont="1" applyFill="1" applyBorder="1" applyAlignment="1">
      <alignment horizontal="center" vertical="center" wrapText="1"/>
    </xf>
    <xf numFmtId="169" fontId="107" fillId="7" borderId="43" xfId="0" applyNumberFormat="1" applyFont="1" applyFill="1" applyBorder="1" applyAlignment="1">
      <alignment horizontal="center" vertical="center"/>
    </xf>
    <xf numFmtId="169" fontId="107" fillId="7" borderId="19" xfId="0" applyNumberFormat="1" applyFont="1" applyFill="1" applyBorder="1" applyAlignment="1">
      <alignment horizontal="center" vertical="center"/>
    </xf>
    <xf numFmtId="169" fontId="107" fillId="7" borderId="20" xfId="0" applyNumberFormat="1" applyFont="1" applyFill="1" applyBorder="1" applyAlignment="1">
      <alignment horizontal="center" vertical="center"/>
    </xf>
    <xf numFmtId="169" fontId="107" fillId="7" borderId="3" xfId="0" applyNumberFormat="1" applyFont="1" applyFill="1" applyBorder="1" applyAlignment="1">
      <alignment horizontal="center" vertical="center"/>
    </xf>
    <xf numFmtId="169" fontId="107" fillId="7" borderId="13" xfId="0" applyNumberFormat="1" applyFont="1" applyFill="1" applyBorder="1" applyAlignment="1">
      <alignment horizontal="center" vertical="center"/>
    </xf>
    <xf numFmtId="4" fontId="107" fillId="7" borderId="19" xfId="0" applyNumberFormat="1" applyFont="1" applyFill="1" applyBorder="1" applyAlignment="1">
      <alignment horizontal="center" vertical="center"/>
    </xf>
    <xf numFmtId="4" fontId="107" fillId="7" borderId="3" xfId="0" applyNumberFormat="1" applyFont="1" applyFill="1" applyBorder="1" applyAlignment="1">
      <alignment horizontal="center" vertical="center" wrapText="1"/>
    </xf>
    <xf numFmtId="3" fontId="107" fillId="7" borderId="19" xfId="0" applyNumberFormat="1" applyFont="1" applyFill="1" applyBorder="1" applyAlignment="1">
      <alignment horizontal="center" vertical="center"/>
    </xf>
    <xf numFmtId="4" fontId="107" fillId="7" borderId="45" xfId="0" applyNumberFormat="1" applyFont="1" applyFill="1" applyBorder="1" applyAlignment="1">
      <alignment horizontal="center" vertical="center" wrapText="1"/>
    </xf>
    <xf numFmtId="3" fontId="107" fillId="7" borderId="43" xfId="0" applyNumberFormat="1" applyFont="1" applyFill="1" applyBorder="1" applyAlignment="1">
      <alignment horizontal="center" vertical="center" wrapText="1"/>
    </xf>
    <xf numFmtId="4" fontId="107" fillId="7" borderId="43" xfId="0" applyNumberFormat="1" applyFont="1" applyFill="1" applyBorder="1" applyAlignment="1">
      <alignment horizontal="center" vertical="center" wrapText="1"/>
    </xf>
    <xf numFmtId="1" fontId="107" fillId="7" borderId="31" xfId="0" applyNumberFormat="1" applyFont="1" applyFill="1" applyBorder="1" applyAlignment="1">
      <alignment horizontal="center" vertical="center" wrapText="1"/>
    </xf>
    <xf numFmtId="1" fontId="107" fillId="7" borderId="50" xfId="0" applyNumberFormat="1" applyFont="1" applyFill="1" applyBorder="1" applyAlignment="1">
      <alignment horizontal="center" vertical="center" wrapText="1"/>
    </xf>
    <xf numFmtId="1" fontId="107" fillId="7" borderId="1" xfId="0" applyNumberFormat="1" applyFont="1" applyFill="1" applyBorder="1" applyAlignment="1">
      <alignment horizontal="center" vertical="center" wrapText="1"/>
    </xf>
    <xf numFmtId="1" fontId="107" fillId="7" borderId="6" xfId="0" applyNumberFormat="1" applyFont="1" applyFill="1" applyBorder="1" applyAlignment="1">
      <alignment horizontal="center" vertical="center" wrapText="1"/>
    </xf>
    <xf numFmtId="169" fontId="107" fillId="7" borderId="1" xfId="0" applyNumberFormat="1" applyFont="1" applyFill="1" applyBorder="1" applyAlignment="1">
      <alignment horizontal="center" vertical="center" wrapText="1"/>
    </xf>
    <xf numFmtId="1" fontId="107" fillId="7" borderId="4" xfId="0" applyNumberFormat="1" applyFont="1" applyFill="1" applyBorder="1" applyAlignment="1">
      <alignment horizontal="center" vertical="center" wrapText="1"/>
    </xf>
    <xf numFmtId="1" fontId="107" fillId="7" borderId="19" xfId="0" applyNumberFormat="1" applyFont="1" applyFill="1" applyBorder="1" applyAlignment="1">
      <alignment horizontal="center" vertical="center" wrapText="1"/>
    </xf>
    <xf numFmtId="1" fontId="107" fillId="7" borderId="7" xfId="0" applyNumberFormat="1" applyFont="1" applyFill="1" applyBorder="1" applyAlignment="1">
      <alignment horizontal="center" vertical="center" wrapText="1"/>
    </xf>
    <xf numFmtId="1" fontId="107" fillId="7" borderId="51" xfId="0" applyNumberFormat="1" applyFont="1" applyFill="1" applyBorder="1" applyAlignment="1">
      <alignment horizontal="center" vertical="center" wrapText="1"/>
    </xf>
    <xf numFmtId="1" fontId="107" fillId="7" borderId="36" xfId="0" applyNumberFormat="1" applyFont="1" applyFill="1" applyBorder="1" applyAlignment="1">
      <alignment horizontal="center" vertical="center" wrapText="1"/>
    </xf>
    <xf numFmtId="1" fontId="107" fillId="7" borderId="1" xfId="0" applyNumberFormat="1" applyFont="1" applyFill="1" applyBorder="1" applyAlignment="1">
      <alignment horizontal="center" vertical="center"/>
    </xf>
    <xf numFmtId="3" fontId="107" fillId="7" borderId="1" xfId="0" applyNumberFormat="1" applyFont="1" applyFill="1" applyBorder="1" applyAlignment="1">
      <alignment horizontal="center" vertical="center"/>
    </xf>
    <xf numFmtId="165" fontId="107" fillId="7" borderId="1" xfId="0" applyNumberFormat="1" applyFont="1" applyFill="1" applyBorder="1" applyAlignment="1">
      <alignment horizontal="center" vertical="center"/>
    </xf>
    <xf numFmtId="1" fontId="107" fillId="7" borderId="4" xfId="0" applyNumberFormat="1" applyFont="1" applyFill="1" applyBorder="1" applyAlignment="1">
      <alignment horizontal="center" vertical="center"/>
    </xf>
    <xf numFmtId="1" fontId="107" fillId="7" borderId="50" xfId="0" applyNumberFormat="1" applyFont="1" applyFill="1" applyBorder="1" applyAlignment="1">
      <alignment horizontal="center" vertical="center"/>
    </xf>
    <xf numFmtId="169" fontId="107" fillId="7" borderId="50" xfId="0" applyNumberFormat="1" applyFont="1" applyFill="1" applyBorder="1" applyAlignment="1">
      <alignment horizontal="center" vertical="center"/>
    </xf>
    <xf numFmtId="169" fontId="107" fillId="7" borderId="1" xfId="0" applyNumberFormat="1" applyFont="1" applyFill="1" applyBorder="1" applyAlignment="1">
      <alignment horizontal="center" vertical="center"/>
    </xf>
    <xf numFmtId="4" fontId="107" fillId="7" borderId="1" xfId="0" applyNumberFormat="1" applyFont="1" applyFill="1" applyBorder="1" applyAlignment="1">
      <alignment horizontal="center" vertical="center"/>
    </xf>
    <xf numFmtId="1" fontId="107" fillId="7" borderId="2" xfId="0" applyNumberFormat="1" applyFont="1" applyFill="1" applyBorder="1" applyAlignment="1">
      <alignment horizontal="center" vertical="center"/>
    </xf>
    <xf numFmtId="1" fontId="107" fillId="7" borderId="6" xfId="0" applyNumberFormat="1" applyFont="1" applyFill="1" applyBorder="1" applyAlignment="1">
      <alignment horizontal="center" vertical="center"/>
    </xf>
    <xf numFmtId="1" fontId="107" fillId="7" borderId="2" xfId="0" applyNumberFormat="1" applyFont="1" applyFill="1" applyBorder="1"/>
    <xf numFmtId="1" fontId="107" fillId="7" borderId="1" xfId="0" applyNumberFormat="1" applyFont="1" applyFill="1" applyBorder="1"/>
    <xf numFmtId="2" fontId="107" fillId="7" borderId="1" xfId="0" applyNumberFormat="1" applyFont="1" applyFill="1" applyBorder="1"/>
    <xf numFmtId="1" fontId="107" fillId="7" borderId="4" xfId="0" applyNumberFormat="1" applyFont="1" applyFill="1" applyBorder="1"/>
    <xf numFmtId="1" fontId="107" fillId="7" borderId="7" xfId="0" applyNumberFormat="1" applyFont="1" applyFill="1" applyBorder="1"/>
    <xf numFmtId="1" fontId="69" fillId="7" borderId="7" xfId="0" applyNumberFormat="1" applyFont="1" applyFill="1" applyBorder="1"/>
    <xf numFmtId="1" fontId="107" fillId="7" borderId="7" xfId="0" applyNumberFormat="1" applyFont="1" applyFill="1" applyBorder="1" applyAlignment="1">
      <alignment horizontal="center" vertical="center"/>
    </xf>
    <xf numFmtId="167" fontId="74" fillId="7" borderId="0" xfId="0" applyNumberFormat="1" applyFont="1" applyFill="1"/>
    <xf numFmtId="4" fontId="74" fillId="7" borderId="0" xfId="0" applyNumberFormat="1" applyFont="1" applyFill="1"/>
    <xf numFmtId="0" fontId="108" fillId="6" borderId="0" xfId="0" applyFont="1" applyFill="1"/>
    <xf numFmtId="0" fontId="109" fillId="6" borderId="54" xfId="0" applyFont="1" applyFill="1" applyBorder="1" applyAlignment="1">
      <alignment horizontal="left" vertical="center"/>
    </xf>
    <xf numFmtId="3" fontId="109" fillId="6" borderId="17" xfId="0" applyNumberFormat="1" applyFont="1" applyFill="1" applyBorder="1" applyAlignment="1">
      <alignment horizontal="center" vertical="center"/>
    </xf>
    <xf numFmtId="3" fontId="109" fillId="6" borderId="18" xfId="0" applyNumberFormat="1" applyFont="1" applyFill="1" applyBorder="1" applyAlignment="1">
      <alignment horizontal="center" vertical="center"/>
    </xf>
    <xf numFmtId="4" fontId="108" fillId="6" borderId="0" xfId="0" applyNumberFormat="1" applyFont="1" applyFill="1"/>
    <xf numFmtId="14" fontId="73" fillId="6" borderId="35" xfId="0" applyNumberFormat="1" applyFont="1" applyFill="1" applyBorder="1" applyAlignment="1">
      <alignment horizontal="center" vertical="center"/>
    </xf>
    <xf numFmtId="3" fontId="109" fillId="6" borderId="31" xfId="0" applyNumberFormat="1" applyFont="1" applyFill="1" applyBorder="1" applyAlignment="1">
      <alignment horizontal="center" vertical="center"/>
    </xf>
    <xf numFmtId="3" fontId="109" fillId="6" borderId="4" xfId="0" applyNumberFormat="1" applyFont="1" applyFill="1" applyBorder="1" applyAlignment="1">
      <alignment horizontal="center" vertical="center"/>
    </xf>
    <xf numFmtId="3" fontId="109" fillId="6" borderId="5" xfId="0" applyNumberFormat="1" applyFont="1" applyFill="1" applyBorder="1" applyAlignment="1">
      <alignment horizontal="center" vertical="center"/>
    </xf>
    <xf numFmtId="3" fontId="109" fillId="6" borderId="6" xfId="0" applyNumberFormat="1" applyFont="1" applyFill="1" applyBorder="1" applyAlignment="1">
      <alignment horizontal="center" vertical="center"/>
    </xf>
    <xf numFmtId="0" fontId="108" fillId="6" borderId="0" xfId="0" applyFont="1" applyFill="1" applyAlignment="1">
      <alignment horizontal="center" vertical="center"/>
    </xf>
    <xf numFmtId="0" fontId="73" fillId="6" borderId="56" xfId="0" applyNumberFormat="1" applyFont="1" applyFill="1" applyBorder="1" applyAlignment="1">
      <alignment horizontal="left" vertical="center" wrapText="1"/>
    </xf>
    <xf numFmtId="3" fontId="73" fillId="6" borderId="15" xfId="0" applyNumberFormat="1" applyFont="1" applyFill="1" applyBorder="1" applyAlignment="1">
      <alignment horizontal="center" vertical="center"/>
    </xf>
    <xf numFmtId="3" fontId="73" fillId="6" borderId="52" xfId="0" applyNumberFormat="1" applyFont="1" applyFill="1" applyBorder="1" applyAlignment="1">
      <alignment horizontal="center" vertical="center"/>
    </xf>
    <xf numFmtId="14" fontId="73" fillId="6" borderId="46" xfId="0" applyNumberFormat="1" applyFont="1" applyFill="1" applyBorder="1" applyAlignment="1">
      <alignment horizontal="center" vertical="center"/>
    </xf>
    <xf numFmtId="3" fontId="73" fillId="6" borderId="31" xfId="0" applyNumberFormat="1" applyFont="1" applyFill="1" applyBorder="1" applyAlignment="1">
      <alignment horizontal="center" vertical="center"/>
    </xf>
    <xf numFmtId="3" fontId="73" fillId="6" borderId="4" xfId="0" applyNumberFormat="1" applyFont="1" applyFill="1" applyBorder="1" applyAlignment="1">
      <alignment horizontal="center" vertical="center"/>
    </xf>
    <xf numFmtId="3" fontId="73" fillId="6" borderId="5" xfId="0" applyNumberFormat="1" applyFont="1" applyFill="1" applyBorder="1" applyAlignment="1">
      <alignment horizontal="center" vertical="center"/>
    </xf>
    <xf numFmtId="3" fontId="73" fillId="6" borderId="6" xfId="0" applyNumberFormat="1" applyFont="1" applyFill="1" applyBorder="1" applyAlignment="1">
      <alignment horizontal="center" vertical="center"/>
    </xf>
    <xf numFmtId="3" fontId="73" fillId="6" borderId="13" xfId="0" applyNumberFormat="1" applyFont="1" applyFill="1" applyBorder="1" applyAlignment="1">
      <alignment horizontal="center" vertical="center"/>
    </xf>
    <xf numFmtId="4" fontId="108" fillId="6" borderId="0" xfId="0" applyNumberFormat="1" applyFont="1" applyFill="1" applyAlignment="1">
      <alignment horizontal="center"/>
    </xf>
    <xf numFmtId="0" fontId="108" fillId="6" borderId="0" xfId="0" applyFont="1" applyFill="1" applyAlignment="1">
      <alignment horizontal="center"/>
    </xf>
    <xf numFmtId="0" fontId="108" fillId="6" borderId="0" xfId="0" applyFont="1" applyFill="1" applyBorder="1" applyAlignment="1">
      <alignment horizontal="center"/>
    </xf>
    <xf numFmtId="0" fontId="73" fillId="6" borderId="51" xfId="0" applyNumberFormat="1" applyFont="1" applyFill="1" applyBorder="1" applyAlignment="1">
      <alignment horizontal="justify" vertical="center" wrapText="1"/>
    </xf>
    <xf numFmtId="3" fontId="73" fillId="6" borderId="3" xfId="0" applyNumberFormat="1" applyFont="1" applyFill="1" applyBorder="1" applyAlignment="1">
      <alignment horizontal="center" vertical="center"/>
    </xf>
    <xf numFmtId="14" fontId="73" fillId="6" borderId="43" xfId="0" applyNumberFormat="1" applyFont="1" applyFill="1" applyBorder="1" applyAlignment="1">
      <alignment horizontal="center" vertical="center"/>
    </xf>
    <xf numFmtId="3" fontId="73" fillId="6" borderId="11" xfId="0" applyNumberFormat="1" applyFont="1" applyFill="1" applyBorder="1" applyAlignment="1">
      <alignment horizontal="center" vertical="center"/>
    </xf>
    <xf numFmtId="3" fontId="73" fillId="6" borderId="21" xfId="0" applyNumberFormat="1" applyFont="1" applyFill="1" applyBorder="1" applyAlignment="1">
      <alignment horizontal="center" vertical="center"/>
    </xf>
    <xf numFmtId="3" fontId="73" fillId="6" borderId="20" xfId="0" applyNumberFormat="1" applyFont="1" applyFill="1" applyBorder="1" applyAlignment="1">
      <alignment horizontal="center" vertical="center"/>
    </xf>
    <xf numFmtId="0" fontId="108" fillId="6" borderId="0" xfId="0" applyFont="1" applyFill="1" applyAlignment="1">
      <alignment vertical="center"/>
    </xf>
    <xf numFmtId="0" fontId="73" fillId="6" borderId="51" xfId="0" applyNumberFormat="1" applyFont="1" applyFill="1" applyBorder="1" applyAlignment="1">
      <alignment horizontal="left" vertical="center" wrapText="1"/>
    </xf>
    <xf numFmtId="169" fontId="146" fillId="0" borderId="2" xfId="0" applyNumberFormat="1" applyFont="1" applyFill="1" applyBorder="1" applyAlignment="1">
      <alignment horizontal="center" vertical="center" wrapText="1"/>
    </xf>
    <xf numFmtId="1" fontId="68" fillId="0" borderId="3" xfId="0" applyNumberFormat="1" applyFont="1" applyFill="1" applyBorder="1" applyAlignment="1">
      <alignment horizontal="center" vertical="center"/>
    </xf>
    <xf numFmtId="3" fontId="26" fillId="3" borderId="2" xfId="0" applyNumberFormat="1" applyFont="1" applyFill="1" applyBorder="1" applyAlignment="1">
      <alignment horizontal="center" vertical="center" wrapText="1"/>
    </xf>
    <xf numFmtId="3" fontId="23" fillId="3" borderId="3" xfId="0" applyNumberFormat="1" applyFont="1" applyFill="1" applyBorder="1" applyAlignment="1">
      <alignment horizontal="center" vertical="center"/>
    </xf>
    <xf numFmtId="3" fontId="23" fillId="3" borderId="13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 wrapText="1"/>
    </xf>
    <xf numFmtId="0" fontId="81" fillId="0" borderId="0" xfId="0" applyFont="1" applyAlignment="1">
      <alignment wrapText="1"/>
    </xf>
    <xf numFmtId="0" fontId="77" fillId="0" borderId="0" xfId="0" applyFont="1" applyAlignment="1">
      <alignment wrapText="1"/>
    </xf>
    <xf numFmtId="0" fontId="147" fillId="0" borderId="51" xfId="0" applyFont="1" applyBorder="1" applyAlignment="1">
      <alignment horizontal="center" vertical="center" wrapText="1"/>
    </xf>
    <xf numFmtId="0" fontId="147" fillId="0" borderId="69" xfId="0" applyFont="1" applyBorder="1" applyAlignment="1">
      <alignment horizontal="center" vertical="center" wrapText="1"/>
    </xf>
    <xf numFmtId="0" fontId="82" fillId="0" borderId="3" xfId="0" applyFont="1" applyBorder="1" applyAlignment="1">
      <alignment vertical="center" wrapText="1"/>
    </xf>
    <xf numFmtId="0" fontId="82" fillId="0" borderId="8" xfId="0" applyFont="1" applyBorder="1" applyAlignment="1">
      <alignment vertical="center" wrapText="1"/>
    </xf>
    <xf numFmtId="0" fontId="76" fillId="4" borderId="55" xfId="0" applyFont="1" applyFill="1" applyBorder="1" applyAlignment="1">
      <alignment horizontal="center" vertical="center" wrapText="1"/>
    </xf>
    <xf numFmtId="0" fontId="148" fillId="4" borderId="23" xfId="0" applyFont="1" applyFill="1" applyBorder="1" applyAlignment="1">
      <alignment horizontal="center" vertical="center" wrapText="1"/>
    </xf>
    <xf numFmtId="0" fontId="148" fillId="4" borderId="26" xfId="0" applyFont="1" applyFill="1" applyBorder="1" applyAlignment="1">
      <alignment horizontal="center" vertical="center" wrapText="1"/>
    </xf>
    <xf numFmtId="3" fontId="25" fillId="0" borderId="34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/>
    </xf>
    <xf numFmtId="3" fontId="25" fillId="0" borderId="47" xfId="0" applyNumberFormat="1" applyFont="1" applyFill="1" applyBorder="1" applyAlignment="1">
      <alignment horizontal="center" vertical="center"/>
    </xf>
    <xf numFmtId="3" fontId="23" fillId="0" borderId="34" xfId="0" applyNumberFormat="1" applyFont="1" applyFill="1" applyBorder="1" applyAlignment="1">
      <alignment horizontal="center" vertical="center"/>
    </xf>
    <xf numFmtId="3" fontId="23" fillId="0" borderId="35" xfId="0" applyNumberFormat="1" applyFont="1" applyFill="1" applyBorder="1" applyAlignment="1">
      <alignment horizontal="center" vertical="center"/>
    </xf>
    <xf numFmtId="3" fontId="23" fillId="0" borderId="47" xfId="0" applyNumberFormat="1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3" fontId="25" fillId="0" borderId="77" xfId="0" applyNumberFormat="1" applyFont="1" applyFill="1" applyBorder="1" applyAlignment="1">
      <alignment horizontal="center" vertical="center"/>
    </xf>
    <xf numFmtId="3" fontId="25" fillId="0" borderId="71" xfId="0" applyNumberFormat="1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3" fontId="25" fillId="0" borderId="64" xfId="0" applyNumberFormat="1" applyFont="1" applyFill="1" applyBorder="1" applyAlignment="1">
      <alignment horizontal="center" vertical="center"/>
    </xf>
    <xf numFmtId="3" fontId="25" fillId="0" borderId="61" xfId="0" applyNumberFormat="1" applyFont="1" applyFill="1" applyBorder="1" applyAlignment="1">
      <alignment horizontal="center" vertical="center"/>
    </xf>
    <xf numFmtId="3" fontId="25" fillId="0" borderId="65" xfId="0" applyNumberFormat="1" applyFont="1" applyFill="1" applyBorder="1" applyAlignment="1">
      <alignment horizontal="center" vertical="center"/>
    </xf>
    <xf numFmtId="3" fontId="25" fillId="0" borderId="80" xfId="0" applyNumberFormat="1" applyFont="1" applyFill="1" applyBorder="1" applyAlignment="1">
      <alignment horizontal="center" vertical="center"/>
    </xf>
    <xf numFmtId="3" fontId="25" fillId="0" borderId="67" xfId="0" applyNumberFormat="1" applyFont="1" applyFill="1" applyBorder="1" applyAlignment="1">
      <alignment horizontal="center" vertical="center"/>
    </xf>
    <xf numFmtId="3" fontId="25" fillId="0" borderId="78" xfId="0" applyNumberFormat="1" applyFont="1" applyFill="1" applyBorder="1" applyAlignment="1">
      <alignment horizontal="center" vertical="center"/>
    </xf>
    <xf numFmtId="3" fontId="25" fillId="0" borderId="3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55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5" fillId="0" borderId="55" xfId="0" applyNumberFormat="1" applyFont="1" applyFill="1" applyBorder="1" applyAlignment="1">
      <alignment horizontal="center" vertical="center" wrapText="1"/>
    </xf>
    <xf numFmtId="0" fontId="25" fillId="0" borderId="69" xfId="0" applyNumberFormat="1" applyFont="1" applyFill="1" applyBorder="1" applyAlignment="1">
      <alignment horizontal="center" vertical="center" wrapText="1"/>
    </xf>
    <xf numFmtId="3" fontId="25" fillId="0" borderId="23" xfId="0" applyNumberFormat="1" applyFont="1" applyFill="1" applyBorder="1" applyAlignment="1">
      <alignment horizontal="center" vertical="center"/>
    </xf>
    <xf numFmtId="3" fontId="25" fillId="0" borderId="8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3" fontId="25" fillId="0" borderId="14" xfId="0" applyNumberFormat="1" applyFont="1" applyFill="1" applyBorder="1" applyAlignment="1">
      <alignment horizontal="center" vertical="center"/>
    </xf>
    <xf numFmtId="1" fontId="10" fillId="0" borderId="32" xfId="0" applyNumberFormat="1" applyFont="1" applyFill="1" applyBorder="1" applyAlignment="1">
      <alignment horizontal="center" vertical="center" textRotation="90" wrapText="1"/>
    </xf>
    <xf numFmtId="0" fontId="0" fillId="0" borderId="17" xfId="0" applyBorder="1"/>
    <xf numFmtId="0" fontId="0" fillId="0" borderId="28" xfId="0" applyBorder="1"/>
    <xf numFmtId="1" fontId="4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1" fontId="10" fillId="0" borderId="34" xfId="0" applyNumberFormat="1" applyFont="1" applyFill="1" applyBorder="1" applyAlignment="1">
      <alignment horizontal="center" vertical="center" textRotation="90" wrapText="1"/>
    </xf>
    <xf numFmtId="0" fontId="0" fillId="0" borderId="35" xfId="0" applyBorder="1"/>
    <xf numFmtId="0" fontId="0" fillId="0" borderId="47" xfId="0" applyBorder="1"/>
    <xf numFmtId="1" fontId="6" fillId="0" borderId="34" xfId="0" applyNumberFormat="1" applyFont="1" applyFill="1" applyBorder="1" applyAlignment="1">
      <alignment horizontal="center" vertical="center" wrapText="1"/>
    </xf>
    <xf numFmtId="1" fontId="6" fillId="0" borderId="29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2" fillId="0" borderId="66" xfId="0" applyFont="1" applyFill="1" applyBorder="1"/>
    <xf numFmtId="1" fontId="6" fillId="0" borderId="32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/>
    <xf numFmtId="0" fontId="2" fillId="0" borderId="28" xfId="0" applyFont="1" applyFill="1" applyBorder="1"/>
    <xf numFmtId="165" fontId="6" fillId="0" borderId="32" xfId="0" applyNumberFormat="1" applyFont="1" applyFill="1" applyBorder="1" applyAlignment="1">
      <alignment horizontal="center" vertical="center" wrapText="1"/>
    </xf>
    <xf numFmtId="1" fontId="6" fillId="0" borderId="25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2" xfId="0" applyBorder="1"/>
    <xf numFmtId="169" fontId="6" fillId="0" borderId="32" xfId="0" applyNumberFormat="1" applyFont="1" applyFill="1" applyBorder="1" applyAlignment="1">
      <alignment horizontal="center" vertical="center" textRotation="90" wrapText="1"/>
    </xf>
    <xf numFmtId="169" fontId="0" fillId="0" borderId="17" xfId="0" applyNumberFormat="1" applyBorder="1"/>
    <xf numFmtId="169" fontId="0" fillId="0" borderId="28" xfId="0" applyNumberFormat="1" applyBorder="1"/>
    <xf numFmtId="169" fontId="6" fillId="0" borderId="25" xfId="0" applyNumberFormat="1" applyFont="1" applyFill="1" applyBorder="1" applyAlignment="1">
      <alignment horizontal="center" vertical="center" wrapText="1"/>
    </xf>
    <xf numFmtId="169" fontId="6" fillId="0" borderId="24" xfId="0" applyNumberFormat="1" applyFont="1" applyFill="1" applyBorder="1" applyAlignment="1">
      <alignment horizontal="center" vertical="center" wrapText="1"/>
    </xf>
    <xf numFmtId="169" fontId="6" fillId="0" borderId="22" xfId="0" applyNumberFormat="1" applyFont="1" applyFill="1" applyBorder="1" applyAlignment="1">
      <alignment horizontal="center" vertical="center" wrapText="1"/>
    </xf>
    <xf numFmtId="1" fontId="6" fillId="0" borderId="32" xfId="0" applyNumberFormat="1" applyFont="1" applyFill="1" applyBorder="1" applyAlignment="1">
      <alignment horizontal="center" vertical="center" textRotation="90" wrapText="1"/>
    </xf>
    <xf numFmtId="1" fontId="9" fillId="0" borderId="32" xfId="0" applyNumberFormat="1" applyFont="1" applyFill="1" applyBorder="1" applyAlignment="1">
      <alignment horizontal="center" vertical="center" textRotation="90" wrapText="1"/>
    </xf>
    <xf numFmtId="169" fontId="7" fillId="0" borderId="25" xfId="0" applyNumberFormat="1" applyFont="1" applyFill="1" applyBorder="1" applyAlignment="1">
      <alignment horizontal="center" vertical="center" wrapText="1"/>
    </xf>
    <xf numFmtId="169" fontId="7" fillId="0" borderId="24" xfId="0" applyNumberFormat="1" applyFont="1" applyFill="1" applyBorder="1" applyAlignment="1">
      <alignment horizontal="center" vertical="center" wrapText="1"/>
    </xf>
    <xf numFmtId="169" fontId="7" fillId="0" borderId="22" xfId="0" applyNumberFormat="1" applyFont="1" applyFill="1" applyBorder="1" applyAlignment="1">
      <alignment horizontal="center" vertical="center" wrapText="1"/>
    </xf>
    <xf numFmtId="169" fontId="52" fillId="0" borderId="25" xfId="0" applyNumberFormat="1" applyFont="1" applyFill="1" applyBorder="1" applyAlignment="1">
      <alignment horizontal="center" vertical="center" wrapText="1"/>
    </xf>
    <xf numFmtId="169" fontId="52" fillId="0" borderId="24" xfId="0" applyNumberFormat="1" applyFont="1" applyFill="1" applyBorder="1" applyAlignment="1">
      <alignment horizontal="center" vertical="center" wrapText="1"/>
    </xf>
    <xf numFmtId="169" fontId="52" fillId="0" borderId="22" xfId="0" applyNumberFormat="1" applyFont="1" applyFill="1" applyBorder="1" applyAlignment="1">
      <alignment horizontal="center" vertical="center" wrapText="1"/>
    </xf>
    <xf numFmtId="169" fontId="6" fillId="0" borderId="15" xfId="0" applyNumberFormat="1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1" fontId="17" fillId="0" borderId="32" xfId="0" applyNumberFormat="1" applyFont="1" applyBorder="1" applyAlignment="1">
      <alignment horizontal="center" vertical="center" textRotation="90" wrapText="1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1" fontId="6" fillId="0" borderId="32" xfId="0" applyNumberFormat="1" applyFont="1" applyFill="1" applyBorder="1" applyAlignment="1">
      <alignment horizontal="center" vertical="center" textRotation="90"/>
    </xf>
    <xf numFmtId="1" fontId="5" fillId="0" borderId="32" xfId="0" applyNumberFormat="1" applyFont="1" applyFill="1" applyBorder="1" applyAlignment="1">
      <alignment horizontal="center" vertical="center" textRotation="90" wrapText="1"/>
    </xf>
    <xf numFmtId="1" fontId="5" fillId="0" borderId="32" xfId="0" applyNumberFormat="1" applyFont="1" applyFill="1" applyBorder="1" applyAlignment="1">
      <alignment horizontal="center" vertical="center" textRotation="90"/>
    </xf>
    <xf numFmtId="1" fontId="16" fillId="0" borderId="32" xfId="0" applyNumberFormat="1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vertical="center"/>
    </xf>
    <xf numFmtId="0" fontId="0" fillId="0" borderId="28" xfId="0" applyBorder="1" applyAlignment="1">
      <alignment vertical="center"/>
    </xf>
    <xf numFmtId="1" fontId="10" fillId="0" borderId="32" xfId="0" applyNumberFormat="1" applyFont="1" applyFill="1" applyBorder="1" applyAlignment="1">
      <alignment vertical="center" textRotation="90" wrapText="1"/>
    </xf>
    <xf numFmtId="1" fontId="6" fillId="4" borderId="32" xfId="0" applyNumberFormat="1" applyFont="1" applyFill="1" applyBorder="1" applyAlignment="1">
      <alignment horizontal="center" vertical="center" textRotation="90" wrapText="1"/>
    </xf>
    <xf numFmtId="1" fontId="6" fillId="4" borderId="32" xfId="0" applyNumberFormat="1" applyFont="1" applyFill="1" applyBorder="1" applyAlignment="1">
      <alignment horizontal="center" vertical="center" textRotation="90"/>
    </xf>
    <xf numFmtId="1" fontId="17" fillId="4" borderId="32" xfId="0" applyNumberFormat="1" applyFont="1" applyFill="1" applyBorder="1" applyAlignment="1">
      <alignment horizontal="center" vertical="center" textRotation="90"/>
    </xf>
    <xf numFmtId="1" fontId="5" fillId="4" borderId="32" xfId="0" applyNumberFormat="1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/>
    </xf>
    <xf numFmtId="0" fontId="2" fillId="4" borderId="32" xfId="0" applyFont="1" applyFill="1" applyBorder="1" applyAlignment="1">
      <alignment horizontal="center" vertical="center" textRotation="90" wrapText="1"/>
    </xf>
    <xf numFmtId="0" fontId="18" fillId="4" borderId="32" xfId="0" applyFont="1" applyFill="1" applyBorder="1" applyAlignment="1">
      <alignment horizontal="center" vertical="center" textRotation="90" wrapText="1"/>
    </xf>
    <xf numFmtId="1" fontId="16" fillId="4" borderId="32" xfId="0" applyNumberFormat="1" applyFont="1" applyFill="1" applyBorder="1" applyAlignment="1">
      <alignment horizontal="center" vertical="center" textRotation="90" wrapText="1"/>
    </xf>
    <xf numFmtId="1" fontId="9" fillId="4" borderId="32" xfId="0" applyNumberFormat="1" applyFont="1" applyFill="1" applyBorder="1" applyAlignment="1">
      <alignment horizontal="center" vertical="center" textRotation="90"/>
    </xf>
    <xf numFmtId="1" fontId="10" fillId="4" borderId="32" xfId="0" applyNumberFormat="1" applyFont="1" applyFill="1" applyBorder="1" applyAlignment="1">
      <alignment horizontal="center" vertical="center" textRotation="90"/>
    </xf>
    <xf numFmtId="1" fontId="9" fillId="4" borderId="32" xfId="0" applyNumberFormat="1" applyFont="1" applyFill="1" applyBorder="1" applyAlignment="1">
      <alignment horizontal="center" vertical="center" textRotation="90" wrapText="1"/>
    </xf>
    <xf numFmtId="1" fontId="19" fillId="4" borderId="32" xfId="0" applyNumberFormat="1" applyFont="1" applyFill="1" applyBorder="1" applyAlignment="1">
      <alignment horizontal="center" vertical="center" textRotation="90" wrapText="1"/>
    </xf>
    <xf numFmtId="1" fontId="17" fillId="4" borderId="32" xfId="0" applyNumberFormat="1" applyFont="1" applyFill="1" applyBorder="1" applyAlignment="1">
      <alignment horizontal="center" vertical="center" textRotation="90" wrapText="1"/>
    </xf>
    <xf numFmtId="1" fontId="20" fillId="4" borderId="32" xfId="0" applyNumberFormat="1" applyFont="1" applyFill="1" applyBorder="1" applyAlignment="1">
      <alignment horizontal="center" vertical="center" textRotation="90" wrapText="1"/>
    </xf>
    <xf numFmtId="0" fontId="2" fillId="0" borderId="25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165" fontId="6" fillId="0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0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19" fillId="0" borderId="32" xfId="0" applyNumberFormat="1" applyFont="1" applyBorder="1" applyAlignment="1">
      <alignment horizontal="justify" vertical="center" textRotation="90" wrapText="1"/>
    </xf>
    <xf numFmtId="0" fontId="19" fillId="0" borderId="32" xfId="0" applyNumberFormat="1" applyFont="1" applyBorder="1" applyAlignment="1">
      <alignment horizontal="center" vertical="center" textRotation="90"/>
    </xf>
    <xf numFmtId="1" fontId="6" fillId="2" borderId="73" xfId="0" applyNumberFormat="1" applyFont="1" applyFill="1" applyBorder="1" applyAlignment="1">
      <alignment horizontal="center" vertical="center" textRotation="90" wrapText="1"/>
    </xf>
    <xf numFmtId="0" fontId="0" fillId="0" borderId="53" xfId="0" applyBorder="1"/>
    <xf numFmtId="0" fontId="0" fillId="0" borderId="74" xfId="0" applyBorder="1"/>
    <xf numFmtId="1" fontId="19" fillId="0" borderId="32" xfId="0" applyNumberFormat="1" applyFont="1" applyBorder="1" applyAlignment="1">
      <alignment horizontal="justify" vertical="center" textRotation="90"/>
    </xf>
    <xf numFmtId="0" fontId="22" fillId="0" borderId="32" xfId="0" applyNumberFormat="1" applyFont="1" applyBorder="1" applyAlignment="1" applyProtection="1">
      <alignment horizontal="center" vertical="center" textRotation="90" wrapText="1" readingOrder="1"/>
      <protection locked="0"/>
    </xf>
    <xf numFmtId="167" fontId="6" fillId="0" borderId="35" xfId="0" applyNumberFormat="1" applyFont="1" applyFill="1" applyBorder="1" applyAlignment="1">
      <alignment horizontal="center" vertical="center" textRotation="90" wrapText="1"/>
    </xf>
    <xf numFmtId="167" fontId="6" fillId="0" borderId="37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169" fontId="6" fillId="0" borderId="15" xfId="0" applyNumberFormat="1" applyFont="1" applyFill="1" applyBorder="1" applyAlignment="1">
      <alignment horizontal="center" vertical="center" textRotation="88" wrapText="1"/>
    </xf>
    <xf numFmtId="169" fontId="13" fillId="0" borderId="28" xfId="0" applyNumberFormat="1" applyFont="1" applyBorder="1"/>
    <xf numFmtId="0" fontId="8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0" fillId="0" borderId="34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6" xfId="1" applyFont="1" applyFill="1" applyBorder="1" applyAlignment="1">
      <alignment horizontal="center"/>
    </xf>
    <xf numFmtId="0" fontId="10" fillId="0" borderId="14" xfId="1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/>
    </xf>
    <xf numFmtId="0" fontId="11" fillId="0" borderId="17" xfId="1" applyFont="1" applyFill="1" applyBorder="1" applyAlignment="1">
      <alignment horizontal="center"/>
    </xf>
    <xf numFmtId="0" fontId="11" fillId="0" borderId="18" xfId="1" applyFont="1" applyFill="1" applyBorder="1" applyAlignment="1">
      <alignment horizontal="center"/>
    </xf>
    <xf numFmtId="0" fontId="10" fillId="0" borderId="49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71" fillId="0" borderId="0" xfId="1" applyFont="1" applyBorder="1" applyAlignment="1">
      <alignment horizont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1" fillId="0" borderId="22" xfId="1" applyFont="1" applyFill="1" applyBorder="1" applyAlignment="1">
      <alignment horizontal="center"/>
    </xf>
    <xf numFmtId="0" fontId="11" fillId="0" borderId="23" xfId="1" applyFont="1" applyFill="1" applyBorder="1" applyAlignment="1">
      <alignment horizontal="center"/>
    </xf>
    <xf numFmtId="0" fontId="11" fillId="0" borderId="26" xfId="1" applyFont="1" applyFill="1" applyBorder="1" applyAlignment="1">
      <alignment horizontal="center"/>
    </xf>
    <xf numFmtId="0" fontId="10" fillId="0" borderId="21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0" fillId="0" borderId="40" xfId="0" applyFont="1" applyFill="1" applyBorder="1" applyAlignment="1">
      <alignment horizontal="center" vertical="center"/>
    </xf>
    <xf numFmtId="0" fontId="60" fillId="0" borderId="4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74" fontId="6" fillId="0" borderId="32" xfId="0" applyNumberFormat="1" applyFont="1" applyFill="1" applyBorder="1" applyAlignment="1">
      <alignment horizontal="center" vertical="center"/>
    </xf>
    <xf numFmtId="174" fontId="6" fillId="0" borderId="28" xfId="0" applyNumberFormat="1" applyFont="1" applyFill="1" applyBorder="1" applyAlignment="1">
      <alignment horizontal="center" vertical="center"/>
    </xf>
    <xf numFmtId="174" fontId="67" fillId="0" borderId="32" xfId="0" applyNumberFormat="1" applyFont="1" applyFill="1" applyBorder="1" applyAlignment="1">
      <alignment horizontal="center" vertical="center"/>
    </xf>
    <xf numFmtId="174" fontId="67" fillId="0" borderId="28" xfId="0" applyNumberFormat="1" applyFont="1" applyFill="1" applyBorder="1" applyAlignment="1">
      <alignment horizontal="center" vertical="center"/>
    </xf>
    <xf numFmtId="174" fontId="67" fillId="0" borderId="38" xfId="0" applyNumberFormat="1" applyFont="1" applyFill="1" applyBorder="1" applyAlignment="1">
      <alignment horizontal="center" vertical="center"/>
    </xf>
    <xf numFmtId="174" fontId="67" fillId="0" borderId="39" xfId="0" applyNumberFormat="1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4" fontId="68" fillId="0" borderId="0" xfId="0" applyNumberFormat="1" applyFont="1" applyFill="1" applyBorder="1" applyAlignment="1">
      <alignment horizontal="center"/>
    </xf>
    <xf numFmtId="0" fontId="60" fillId="0" borderId="40" xfId="0" applyFont="1" applyBorder="1" applyAlignment="1">
      <alignment horizontal="center" vertical="center"/>
    </xf>
    <xf numFmtId="0" fontId="60" fillId="0" borderId="54" xfId="0" applyFont="1" applyBorder="1" applyAlignment="1">
      <alignment horizontal="center" vertical="center"/>
    </xf>
    <xf numFmtId="0" fontId="60" fillId="0" borderId="41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0" fillId="0" borderId="54" xfId="0" applyFont="1" applyFill="1" applyBorder="1" applyAlignment="1">
      <alignment horizontal="center" vertical="center"/>
    </xf>
    <xf numFmtId="174" fontId="67" fillId="0" borderId="17" xfId="0" applyNumberFormat="1" applyFont="1" applyFill="1" applyBorder="1" applyAlignment="1">
      <alignment horizontal="center" vertical="center"/>
    </xf>
    <xf numFmtId="174" fontId="67" fillId="0" borderId="18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174" fontId="67" fillId="0" borderId="15" xfId="0" applyNumberFormat="1" applyFont="1" applyFill="1" applyBorder="1" applyAlignment="1">
      <alignment horizontal="center" vertical="center"/>
    </xf>
    <xf numFmtId="0" fontId="70" fillId="0" borderId="64" xfId="0" applyFont="1" applyBorder="1" applyAlignment="1">
      <alignment horizontal="center" vertical="center"/>
    </xf>
    <xf numFmtId="0" fontId="70" fillId="0" borderId="62" xfId="0" applyFont="1" applyBorder="1" applyAlignment="1">
      <alignment horizontal="center" vertical="center"/>
    </xf>
    <xf numFmtId="4" fontId="60" fillId="0" borderId="61" xfId="0" applyNumberFormat="1" applyFont="1" applyBorder="1" applyAlignment="1">
      <alignment horizontal="center" vertical="center"/>
    </xf>
    <xf numFmtId="0" fontId="60" fillId="0" borderId="61" xfId="0" applyFont="1" applyBorder="1" applyAlignment="1">
      <alignment horizontal="center" vertical="center"/>
    </xf>
    <xf numFmtId="174" fontId="67" fillId="0" borderId="5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4" fontId="6" fillId="0" borderId="32" xfId="0" applyNumberFormat="1" applyFont="1" applyBorder="1" applyAlignment="1">
      <alignment horizontal="center" vertical="center"/>
    </xf>
    <xf numFmtId="174" fontId="6" fillId="0" borderId="28" xfId="0" applyNumberFormat="1" applyFont="1" applyBorder="1" applyAlignment="1">
      <alignment horizontal="center" vertical="center"/>
    </xf>
    <xf numFmtId="174" fontId="67" fillId="4" borderId="32" xfId="0" applyNumberFormat="1" applyFont="1" applyFill="1" applyBorder="1" applyAlignment="1">
      <alignment horizontal="center" vertical="center"/>
    </xf>
    <xf numFmtId="174" fontId="67" fillId="4" borderId="28" xfId="0" applyNumberFormat="1" applyFont="1" applyFill="1" applyBorder="1" applyAlignment="1">
      <alignment horizontal="center" vertical="center"/>
    </xf>
    <xf numFmtId="174" fontId="67" fillId="4" borderId="38" xfId="0" applyNumberFormat="1" applyFont="1" applyFill="1" applyBorder="1" applyAlignment="1">
      <alignment horizontal="center" vertical="center"/>
    </xf>
    <xf numFmtId="174" fontId="67" fillId="4" borderId="39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7" fillId="6" borderId="3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" fontId="11" fillId="0" borderId="32" xfId="0" applyNumberFormat="1" applyFont="1" applyFill="1" applyBorder="1" applyAlignment="1">
      <alignment horizontal="center" vertical="center" wrapText="1"/>
    </xf>
    <xf numFmtId="4" fontId="11" fillId="0" borderId="28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8" fontId="11" fillId="0" borderId="32" xfId="0" applyNumberFormat="1" applyFont="1" applyFill="1" applyBorder="1" applyAlignment="1">
      <alignment horizontal="center" vertical="center" wrapText="1"/>
    </xf>
    <xf numFmtId="168" fontId="11" fillId="0" borderId="28" xfId="0" applyNumberFormat="1" applyFont="1" applyFill="1" applyBorder="1" applyAlignment="1">
      <alignment horizontal="center" vertical="center" wrapText="1"/>
    </xf>
    <xf numFmtId="174" fontId="3" fillId="0" borderId="0" xfId="0" applyNumberFormat="1" applyFont="1" applyFill="1" applyAlignment="1">
      <alignment horizontal="center"/>
    </xf>
    <xf numFmtId="168" fontId="11" fillId="0" borderId="73" xfId="0" applyNumberFormat="1" applyFont="1" applyFill="1" applyBorder="1" applyAlignment="1">
      <alignment horizontal="center" vertical="center" wrapText="1"/>
    </xf>
    <xf numFmtId="168" fontId="11" fillId="0" borderId="74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textRotation="90" wrapText="1"/>
    </xf>
    <xf numFmtId="1" fontId="6" fillId="0" borderId="52" xfId="0" applyNumberFormat="1" applyFont="1" applyFill="1" applyBorder="1" applyAlignment="1">
      <alignment horizontal="center" vertical="center" textRotation="88" wrapText="1"/>
    </xf>
    <xf numFmtId="0" fontId="0" fillId="0" borderId="18" xfId="0" applyBorder="1"/>
    <xf numFmtId="167" fontId="35" fillId="0" borderId="0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 textRotation="90" wrapText="1"/>
    </xf>
    <xf numFmtId="1" fontId="9" fillId="0" borderId="17" xfId="0" applyNumberFormat="1" applyFont="1" applyFill="1" applyBorder="1" applyAlignment="1">
      <alignment horizontal="center" vertical="center" textRotation="90" wrapText="1"/>
    </xf>
    <xf numFmtId="1" fontId="9" fillId="0" borderId="38" xfId="0" applyNumberFormat="1" applyFont="1" applyFill="1" applyBorder="1" applyAlignment="1">
      <alignment horizontal="center" vertical="center" textRotation="90" wrapText="1"/>
    </xf>
    <xf numFmtId="1" fontId="9" fillId="0" borderId="18" xfId="0" applyNumberFormat="1" applyFont="1" applyFill="1" applyBorder="1" applyAlignment="1">
      <alignment horizontal="center" vertical="center" textRotation="90" wrapText="1"/>
    </xf>
    <xf numFmtId="1" fontId="7" fillId="0" borderId="24" xfId="0" applyNumberFormat="1" applyFont="1" applyFill="1" applyBorder="1" applyAlignment="1">
      <alignment horizontal="center" vertical="center" wrapText="1"/>
    </xf>
    <xf numFmtId="1" fontId="7" fillId="0" borderId="27" xfId="0" applyNumberFormat="1" applyFont="1" applyFill="1" applyBorder="1" applyAlignment="1">
      <alignment horizontal="center" vertical="center" wrapText="1"/>
    </xf>
    <xf numFmtId="171" fontId="11" fillId="0" borderId="0" xfId="0" applyNumberFormat="1" applyFont="1" applyFill="1" applyBorder="1" applyAlignment="1">
      <alignment horizontal="center" vertical="center"/>
    </xf>
    <xf numFmtId="4" fontId="11" fillId="0" borderId="75" xfId="0" applyNumberFormat="1" applyFont="1" applyFill="1" applyBorder="1" applyAlignment="1">
      <alignment horizontal="center" vertical="center" wrapText="1"/>
    </xf>
    <xf numFmtId="4" fontId="11" fillId="0" borderId="79" xfId="0" applyNumberFormat="1" applyFont="1" applyFill="1" applyBorder="1" applyAlignment="1">
      <alignment horizontal="center" vertical="center" wrapText="1"/>
    </xf>
    <xf numFmtId="4" fontId="11" fillId="0" borderId="76" xfId="0" applyNumberFormat="1" applyFont="1" applyFill="1" applyBorder="1" applyAlignment="1">
      <alignment horizontal="center" vertical="center" wrapText="1"/>
    </xf>
    <xf numFmtId="178" fontId="11" fillId="0" borderId="32" xfId="0" applyNumberFormat="1" applyFont="1" applyFill="1" applyBorder="1" applyAlignment="1">
      <alignment horizontal="center" vertical="center" wrapText="1"/>
    </xf>
    <xf numFmtId="178" fontId="11" fillId="0" borderId="28" xfId="0" applyNumberFormat="1" applyFont="1" applyFill="1" applyBorder="1" applyAlignment="1">
      <alignment horizontal="center" vertical="center" wrapText="1"/>
    </xf>
    <xf numFmtId="168" fontId="11" fillId="0" borderId="38" xfId="0" applyNumberFormat="1" applyFont="1" applyFill="1" applyBorder="1" applyAlignment="1">
      <alignment horizontal="center" vertical="center" wrapText="1"/>
    </xf>
    <xf numFmtId="168" fontId="11" fillId="0" borderId="39" xfId="0" applyNumberFormat="1" applyFont="1" applyFill="1" applyBorder="1" applyAlignment="1">
      <alignment horizontal="center" vertical="center" wrapText="1"/>
    </xf>
    <xf numFmtId="168" fontId="11" fillId="0" borderId="10" xfId="0" applyNumberFormat="1" applyFont="1" applyFill="1" applyBorder="1" applyAlignment="1">
      <alignment horizontal="center" vertical="center" wrapText="1"/>
    </xf>
    <xf numFmtId="168" fontId="11" fillId="0" borderId="79" xfId="0" applyNumberFormat="1" applyFont="1" applyFill="1" applyBorder="1" applyAlignment="1">
      <alignment horizontal="center" vertical="center" wrapText="1"/>
    </xf>
    <xf numFmtId="168" fontId="11" fillId="0" borderId="9" xfId="0" applyNumberFormat="1" applyFont="1" applyFill="1" applyBorder="1" applyAlignment="1">
      <alignment horizontal="center" vertical="center" wrapText="1"/>
    </xf>
    <xf numFmtId="1" fontId="7" fillId="0" borderId="64" xfId="0" applyNumberFormat="1" applyFont="1" applyFill="1" applyBorder="1" applyAlignment="1">
      <alignment horizontal="center"/>
    </xf>
    <xf numFmtId="1" fontId="7" fillId="0" borderId="61" xfId="0" applyNumberFormat="1" applyFont="1" applyFill="1" applyBorder="1" applyAlignment="1">
      <alignment horizontal="center"/>
    </xf>
    <xf numFmtId="1" fontId="7" fillId="0" borderId="65" xfId="0" applyNumberFormat="1" applyFont="1" applyFill="1" applyBorder="1" applyAlignment="1">
      <alignment horizontal="center"/>
    </xf>
    <xf numFmtId="0" fontId="19" fillId="0" borderId="17" xfId="0" applyNumberFormat="1" applyFont="1" applyBorder="1" applyAlignment="1">
      <alignment horizontal="center" vertical="center" textRotation="90"/>
    </xf>
    <xf numFmtId="0" fontId="19" fillId="0" borderId="28" xfId="0" applyNumberFormat="1" applyFont="1" applyBorder="1" applyAlignment="1">
      <alignment horizontal="center" vertical="center" textRotation="90"/>
    </xf>
    <xf numFmtId="0" fontId="19" fillId="0" borderId="38" xfId="0" applyNumberFormat="1" applyFont="1" applyBorder="1" applyAlignment="1">
      <alignment horizontal="center" vertical="center" textRotation="90" wrapText="1"/>
    </xf>
    <xf numFmtId="0" fontId="19" fillId="0" borderId="18" xfId="0" applyNumberFormat="1" applyFont="1" applyBorder="1" applyAlignment="1">
      <alignment horizontal="center" vertical="center" textRotation="90" wrapText="1"/>
    </xf>
    <xf numFmtId="0" fontId="19" fillId="0" borderId="39" xfId="0" applyNumberFormat="1" applyFont="1" applyBorder="1" applyAlignment="1">
      <alignment horizontal="center" vertical="center" textRotation="90" wrapText="1"/>
    </xf>
    <xf numFmtId="1" fontId="6" fillId="0" borderId="37" xfId="0" applyNumberFormat="1" applyFont="1" applyFill="1" applyBorder="1" applyAlignment="1">
      <alignment horizontal="center" vertical="center" textRotation="90" wrapText="1"/>
    </xf>
    <xf numFmtId="0" fontId="0" fillId="0" borderId="0" xfId="0" applyBorder="1"/>
    <xf numFmtId="1" fontId="6" fillId="0" borderId="64" xfId="0" applyNumberFormat="1" applyFont="1" applyFill="1" applyBorder="1" applyAlignment="1">
      <alignment horizontal="center" vertical="center" wrapText="1"/>
    </xf>
    <xf numFmtId="1" fontId="6" fillId="0" borderId="61" xfId="0" applyNumberFormat="1" applyFont="1" applyFill="1" applyBorder="1" applyAlignment="1">
      <alignment horizontal="center" vertical="center" wrapText="1"/>
    </xf>
    <xf numFmtId="1" fontId="6" fillId="0" borderId="65" xfId="0" applyNumberFormat="1" applyFont="1" applyFill="1" applyBorder="1" applyAlignment="1">
      <alignment horizontal="center" vertical="center" wrapText="1"/>
    </xf>
    <xf numFmtId="1" fontId="6" fillId="0" borderId="73" xfId="0" applyNumberFormat="1" applyFont="1" applyFill="1" applyBorder="1" applyAlignment="1">
      <alignment horizontal="center" vertical="center" textRotation="90"/>
    </xf>
    <xf numFmtId="0" fontId="0" fillId="0" borderId="17" xfId="0" applyFill="1" applyBorder="1"/>
    <xf numFmtId="0" fontId="0" fillId="0" borderId="28" xfId="0" applyFill="1" applyBorder="1"/>
    <xf numFmtId="1" fontId="6" fillId="0" borderId="40" xfId="0" applyNumberFormat="1" applyFont="1" applyFill="1" applyBorder="1" applyAlignment="1">
      <alignment horizontal="center" vertical="center" textRotation="90" wrapText="1"/>
    </xf>
    <xf numFmtId="0" fontId="0" fillId="0" borderId="54" xfId="0" applyBorder="1"/>
    <xf numFmtId="0" fontId="0" fillId="0" borderId="41" xfId="0" applyBorder="1"/>
    <xf numFmtId="1" fontId="7" fillId="0" borderId="49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1" fontId="6" fillId="0" borderId="66" xfId="0" applyNumberFormat="1" applyFont="1" applyFill="1" applyBorder="1" applyAlignment="1">
      <alignment horizontal="center" vertical="center" wrapText="1"/>
    </xf>
    <xf numFmtId="1" fontId="6" fillId="0" borderId="35" xfId="0" applyNumberFormat="1" applyFont="1" applyFill="1" applyBorder="1" applyAlignment="1">
      <alignment horizontal="center" vertical="center" wrapText="1"/>
    </xf>
    <xf numFmtId="1" fontId="6" fillId="0" borderId="47" xfId="0" applyNumberFormat="1" applyFont="1" applyFill="1" applyBorder="1" applyAlignment="1">
      <alignment horizontal="center" vertical="center" wrapText="1"/>
    </xf>
    <xf numFmtId="1" fontId="5" fillId="0" borderId="72" xfId="0" applyNumberFormat="1" applyFont="1" applyFill="1" applyBorder="1" applyAlignment="1">
      <alignment horizontal="center"/>
    </xf>
    <xf numFmtId="1" fontId="5" fillId="0" borderId="30" xfId="0" applyNumberFormat="1" applyFont="1" applyFill="1" applyBorder="1" applyAlignment="1">
      <alignment horizontal="center"/>
    </xf>
    <xf numFmtId="1" fontId="5" fillId="0" borderId="77" xfId="0" applyNumberFormat="1" applyFont="1" applyFill="1" applyBorder="1" applyAlignment="1">
      <alignment horizontal="center"/>
    </xf>
    <xf numFmtId="1" fontId="5" fillId="0" borderId="34" xfId="0" applyNumberFormat="1" applyFont="1" applyFill="1" applyBorder="1" applyAlignment="1">
      <alignment horizontal="center"/>
    </xf>
    <xf numFmtId="1" fontId="5" fillId="0" borderId="35" xfId="0" applyNumberFormat="1" applyFont="1" applyFill="1" applyBorder="1" applyAlignment="1">
      <alignment horizontal="center"/>
    </xf>
    <xf numFmtId="1" fontId="5" fillId="0" borderId="47" xfId="0" applyNumberFormat="1" applyFont="1" applyFill="1" applyBorder="1" applyAlignment="1">
      <alignment horizontal="center"/>
    </xf>
    <xf numFmtId="171" fontId="7" fillId="0" borderId="72" xfId="0" applyNumberFormat="1" applyFont="1" applyFill="1" applyBorder="1" applyAlignment="1">
      <alignment horizontal="center" vertical="center" wrapText="1"/>
    </xf>
    <xf numFmtId="171" fontId="7" fillId="0" borderId="41" xfId="0" applyNumberFormat="1" applyFont="1" applyFill="1" applyBorder="1" applyAlignment="1">
      <alignment horizontal="center" vertical="center" wrapText="1"/>
    </xf>
    <xf numFmtId="1" fontId="6" fillId="0" borderId="52" xfId="0" applyNumberFormat="1" applyFont="1" applyFill="1" applyBorder="1" applyAlignment="1">
      <alignment horizontal="center" vertical="center" textRotation="90" wrapText="1"/>
    </xf>
    <xf numFmtId="167" fontId="11" fillId="0" borderId="32" xfId="0" applyNumberFormat="1" applyFont="1" applyFill="1" applyBorder="1" applyAlignment="1">
      <alignment horizontal="center" vertical="center" wrapText="1"/>
    </xf>
    <xf numFmtId="167" fontId="11" fillId="0" borderId="28" xfId="0" applyNumberFormat="1" applyFont="1" applyFill="1" applyBorder="1" applyAlignment="1">
      <alignment horizontal="center" vertical="center" wrapText="1"/>
    </xf>
    <xf numFmtId="167" fontId="11" fillId="0" borderId="29" xfId="0" applyNumberFormat="1" applyFont="1" applyFill="1" applyBorder="1" applyAlignment="1">
      <alignment horizontal="center" vertical="center" wrapText="1"/>
    </xf>
    <xf numFmtId="167" fontId="11" fillId="0" borderId="66" xfId="0" applyNumberFormat="1" applyFont="1" applyFill="1" applyBorder="1" applyAlignment="1">
      <alignment horizontal="center" vertical="center" wrapText="1"/>
    </xf>
    <xf numFmtId="168" fontId="11" fillId="0" borderId="29" xfId="0" applyNumberFormat="1" applyFont="1" applyFill="1" applyBorder="1" applyAlignment="1">
      <alignment horizontal="center" vertical="center" wrapText="1"/>
    </xf>
    <xf numFmtId="168" fontId="11" fillId="0" borderId="66" xfId="0" applyNumberFormat="1" applyFont="1" applyFill="1" applyBorder="1" applyAlignment="1">
      <alignment horizontal="center" vertical="center" wrapText="1"/>
    </xf>
    <xf numFmtId="173" fontId="11" fillId="0" borderId="70" xfId="0" applyNumberFormat="1" applyFont="1" applyFill="1" applyBorder="1" applyAlignment="1">
      <alignment horizontal="center" vertical="center" wrapText="1"/>
    </xf>
    <xf numFmtId="173" fontId="11" fillId="0" borderId="71" xfId="0" applyNumberFormat="1" applyFont="1" applyFill="1" applyBorder="1" applyAlignment="1">
      <alignment horizontal="center" vertical="center" wrapText="1"/>
    </xf>
    <xf numFmtId="168" fontId="11" fillId="0" borderId="34" xfId="0" applyNumberFormat="1" applyFont="1" applyFill="1" applyBorder="1" applyAlignment="1">
      <alignment horizontal="center" vertical="center" wrapText="1"/>
    </xf>
    <xf numFmtId="168" fontId="11" fillId="0" borderId="47" xfId="0" applyNumberFormat="1" applyFont="1" applyFill="1" applyBorder="1" applyAlignment="1">
      <alignment horizontal="center" vertical="center" wrapText="1"/>
    </xf>
    <xf numFmtId="4" fontId="11" fillId="0" borderId="34" xfId="0" applyNumberFormat="1" applyFont="1" applyFill="1" applyBorder="1" applyAlignment="1">
      <alignment horizontal="center" vertical="center" wrapText="1"/>
    </xf>
    <xf numFmtId="4" fontId="11" fillId="0" borderId="47" xfId="0" applyNumberFormat="1" applyFont="1" applyFill="1" applyBorder="1" applyAlignment="1">
      <alignment horizontal="center" vertical="center" wrapText="1"/>
    </xf>
    <xf numFmtId="1" fontId="6" fillId="0" borderId="34" xfId="0" applyNumberFormat="1" applyFont="1" applyFill="1" applyBorder="1" applyAlignment="1">
      <alignment horizontal="center" vertical="center" textRotation="90" wrapText="1"/>
    </xf>
    <xf numFmtId="1" fontId="6" fillId="0" borderId="35" xfId="0" applyNumberFormat="1" applyFont="1" applyFill="1" applyBorder="1" applyAlignment="1">
      <alignment horizontal="center" vertical="center" textRotation="90" wrapText="1"/>
    </xf>
    <xf numFmtId="1" fontId="6" fillId="0" borderId="47" xfId="0" applyNumberFormat="1" applyFont="1" applyFill="1" applyBorder="1" applyAlignment="1">
      <alignment horizontal="center" vertical="center" textRotation="90" wrapText="1"/>
    </xf>
    <xf numFmtId="169" fontId="7" fillId="0" borderId="64" xfId="0" applyNumberFormat="1" applyFont="1" applyFill="1" applyBorder="1" applyAlignment="1">
      <alignment horizontal="center"/>
    </xf>
    <xf numFmtId="169" fontId="7" fillId="0" borderId="61" xfId="0" applyNumberFormat="1" applyFont="1" applyFill="1" applyBorder="1" applyAlignment="1">
      <alignment horizontal="center"/>
    </xf>
    <xf numFmtId="1" fontId="6" fillId="0" borderId="29" xfId="0" applyNumberFormat="1" applyFont="1" applyFill="1" applyBorder="1" applyAlignment="1">
      <alignment horizontal="center" vertical="center" textRotation="90" wrapText="1"/>
    </xf>
    <xf numFmtId="0" fontId="0" fillId="0" borderId="16" xfId="0" applyBorder="1"/>
    <xf numFmtId="1" fontId="6" fillId="0" borderId="68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0" borderId="16" xfId="0" applyNumberFormat="1" applyFont="1" applyFill="1" applyBorder="1" applyAlignment="1">
      <alignment horizontal="center" vertical="center" textRotation="90" wrapText="1"/>
    </xf>
    <xf numFmtId="1" fontId="6" fillId="0" borderId="18" xfId="0" applyNumberFormat="1" applyFont="1" applyFill="1" applyBorder="1" applyAlignment="1">
      <alignment horizontal="center" vertical="center" textRotation="90" wrapText="1"/>
    </xf>
    <xf numFmtId="1" fontId="6" fillId="0" borderId="38" xfId="0" applyNumberFormat="1" applyFont="1" applyFill="1" applyBorder="1" applyAlignment="1">
      <alignment horizontal="center" vertical="center" textRotation="90" wrapText="1"/>
    </xf>
    <xf numFmtId="1" fontId="52" fillId="0" borderId="0" xfId="0" applyNumberFormat="1" applyFont="1" applyFill="1" applyAlignment="1">
      <alignment horizontal="center" vertical="center"/>
    </xf>
    <xf numFmtId="165" fontId="7" fillId="0" borderId="64" xfId="0" applyNumberFormat="1" applyFont="1" applyFill="1" applyBorder="1" applyAlignment="1">
      <alignment horizontal="center"/>
    </xf>
    <xf numFmtId="165" fontId="7" fillId="0" borderId="61" xfId="0" applyNumberFormat="1" applyFont="1" applyFill="1" applyBorder="1" applyAlignment="1">
      <alignment horizontal="center"/>
    </xf>
    <xf numFmtId="1" fontId="6" fillId="0" borderId="53" xfId="0" applyNumberFormat="1" applyFont="1" applyFill="1" applyBorder="1" applyAlignment="1">
      <alignment horizontal="center" vertical="center" textRotation="90" wrapText="1"/>
    </xf>
    <xf numFmtId="1" fontId="6" fillId="0" borderId="70" xfId="0" applyNumberFormat="1" applyFont="1" applyFill="1" applyBorder="1" applyAlignment="1">
      <alignment horizontal="center" vertical="center" wrapText="1"/>
    </xf>
    <xf numFmtId="1" fontId="6" fillId="0" borderId="60" xfId="0" applyNumberFormat="1" applyFont="1" applyFill="1" applyBorder="1" applyAlignment="1">
      <alignment horizontal="center" vertical="center" wrapText="1"/>
    </xf>
    <xf numFmtId="1" fontId="6" fillId="0" borderId="71" xfId="0" applyNumberFormat="1" applyFont="1" applyFill="1" applyBorder="1" applyAlignment="1">
      <alignment horizontal="center" vertical="center" wrapText="1"/>
    </xf>
    <xf numFmtId="1" fontId="6" fillId="0" borderId="56" xfId="0" applyNumberFormat="1" applyFont="1" applyFill="1" applyBorder="1" applyAlignment="1">
      <alignment horizontal="center" vertical="center" textRotation="90" wrapText="1"/>
    </xf>
    <xf numFmtId="1" fontId="6" fillId="0" borderId="12" xfId="0" applyNumberFormat="1" applyFont="1" applyFill="1" applyBorder="1" applyAlignment="1">
      <alignment horizontal="center" vertical="center" textRotation="90" wrapText="1"/>
    </xf>
    <xf numFmtId="169" fontId="11" fillId="0" borderId="34" xfId="0" applyNumberFormat="1" applyFont="1" applyFill="1" applyBorder="1" applyAlignment="1">
      <alignment horizontal="center" vertical="center" wrapText="1"/>
    </xf>
    <xf numFmtId="169" fontId="11" fillId="0" borderId="47" xfId="0" applyNumberFormat="1" applyFont="1" applyFill="1" applyBorder="1" applyAlignment="1">
      <alignment horizontal="center" vertical="center" wrapText="1"/>
    </xf>
    <xf numFmtId="171" fontId="7" fillId="0" borderId="74" xfId="0" applyNumberFormat="1" applyFont="1" applyFill="1" applyBorder="1" applyAlignment="1">
      <alignment horizontal="center"/>
    </xf>
    <xf numFmtId="171" fontId="7" fillId="0" borderId="33" xfId="0" applyNumberFormat="1" applyFont="1" applyFill="1" applyBorder="1" applyAlignment="1">
      <alignment horizontal="center"/>
    </xf>
    <xf numFmtId="171" fontId="7" fillId="0" borderId="71" xfId="0" applyNumberFormat="1" applyFont="1" applyFill="1" applyBorder="1" applyAlignment="1">
      <alignment horizontal="center"/>
    </xf>
    <xf numFmtId="167" fontId="11" fillId="0" borderId="40" xfId="0" applyNumberFormat="1" applyFont="1" applyFill="1" applyBorder="1" applyAlignment="1">
      <alignment horizontal="center" vertical="center" wrapText="1"/>
    </xf>
    <xf numFmtId="167" fontId="11" fillId="0" borderId="41" xfId="0" applyNumberFormat="1" applyFont="1" applyFill="1" applyBorder="1" applyAlignment="1">
      <alignment horizontal="center" vertical="center" wrapText="1"/>
    </xf>
    <xf numFmtId="2" fontId="11" fillId="0" borderId="32" xfId="0" applyNumberFormat="1" applyFont="1" applyFill="1" applyBorder="1" applyAlignment="1">
      <alignment horizontal="center" vertical="center" wrapText="1"/>
    </xf>
    <xf numFmtId="2" fontId="11" fillId="0" borderId="28" xfId="0" applyNumberFormat="1" applyFont="1" applyFill="1" applyBorder="1" applyAlignment="1">
      <alignment horizontal="center" vertical="center" wrapText="1"/>
    </xf>
    <xf numFmtId="168" fontId="7" fillId="0" borderId="75" xfId="0" applyNumberFormat="1" applyFont="1" applyFill="1" applyBorder="1" applyAlignment="1">
      <alignment horizontal="center" vertical="center" wrapText="1"/>
    </xf>
    <xf numFmtId="168" fontId="7" fillId="0" borderId="79" xfId="0" applyNumberFormat="1" applyFont="1" applyFill="1" applyBorder="1" applyAlignment="1">
      <alignment horizontal="center" vertical="center" wrapText="1"/>
    </xf>
    <xf numFmtId="168" fontId="7" fillId="0" borderId="76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textRotation="90" wrapText="1"/>
    </xf>
    <xf numFmtId="49" fontId="6" fillId="0" borderId="41" xfId="0" applyNumberFormat="1" applyFont="1" applyFill="1" applyBorder="1" applyAlignment="1">
      <alignment horizontal="center" vertical="center" textRotation="90" wrapText="1"/>
    </xf>
    <xf numFmtId="49" fontId="6" fillId="0" borderId="18" xfId="0" applyNumberFormat="1" applyFont="1" applyFill="1" applyBorder="1" applyAlignment="1">
      <alignment horizontal="center" vertical="center" textRotation="90" wrapText="1"/>
    </xf>
    <xf numFmtId="49" fontId="6" fillId="0" borderId="39" xfId="0" applyNumberFormat="1" applyFont="1" applyFill="1" applyBorder="1" applyAlignment="1">
      <alignment horizontal="center" vertical="center" textRotation="90" wrapText="1"/>
    </xf>
    <xf numFmtId="1" fontId="6" fillId="0" borderId="28" xfId="0" applyNumberFormat="1" applyFont="1" applyFill="1" applyBorder="1" applyAlignment="1">
      <alignment horizontal="center" vertical="center" textRotation="90" wrapText="1"/>
    </xf>
    <xf numFmtId="178" fontId="7" fillId="0" borderId="64" xfId="0" applyNumberFormat="1" applyFont="1" applyFill="1" applyBorder="1" applyAlignment="1">
      <alignment horizontal="center"/>
    </xf>
    <xf numFmtId="178" fontId="7" fillId="0" borderId="61" xfId="0" applyNumberFormat="1" applyFont="1" applyFill="1" applyBorder="1" applyAlignment="1">
      <alignment horizontal="center"/>
    </xf>
    <xf numFmtId="1" fontId="6" fillId="0" borderId="73" xfId="0" applyNumberFormat="1" applyFont="1" applyFill="1" applyBorder="1" applyAlignment="1">
      <alignment horizontal="center" vertical="center" textRotation="90" wrapText="1"/>
    </xf>
    <xf numFmtId="1" fontId="6" fillId="0" borderId="74" xfId="0" applyNumberFormat="1" applyFont="1" applyFill="1" applyBorder="1" applyAlignment="1">
      <alignment horizontal="center" vertical="center" textRotation="90" wrapText="1"/>
    </xf>
    <xf numFmtId="1" fontId="6" fillId="0" borderId="72" xfId="0" applyNumberFormat="1" applyFont="1" applyFill="1" applyBorder="1" applyAlignment="1">
      <alignment horizontal="center" vertical="center" textRotation="90" wrapText="1"/>
    </xf>
    <xf numFmtId="0" fontId="0" fillId="0" borderId="30" xfId="0" applyBorder="1"/>
    <xf numFmtId="167" fontId="7" fillId="0" borderId="77" xfId="0" applyNumberFormat="1" applyFont="1" applyFill="1" applyBorder="1" applyAlignment="1">
      <alignment horizontal="center"/>
    </xf>
    <xf numFmtId="167" fontId="7" fillId="0" borderId="71" xfId="0" applyNumberFormat="1" applyFont="1" applyFill="1" applyBorder="1" applyAlignment="1">
      <alignment horizontal="center"/>
    </xf>
    <xf numFmtId="165" fontId="6" fillId="0" borderId="40" xfId="0" applyNumberFormat="1" applyFont="1" applyFill="1" applyBorder="1" applyAlignment="1">
      <alignment horizontal="center" vertical="center" wrapText="1"/>
    </xf>
    <xf numFmtId="1" fontId="6" fillId="0" borderId="39" xfId="0" applyNumberFormat="1" applyFont="1" applyFill="1" applyBorder="1" applyAlignment="1">
      <alignment horizontal="center" vertical="center" textRotation="90" wrapText="1"/>
    </xf>
    <xf numFmtId="1" fontId="6" fillId="0" borderId="27" xfId="0" applyNumberFormat="1" applyFont="1" applyFill="1" applyBorder="1" applyAlignment="1">
      <alignment horizontal="center" vertical="center" wrapText="1"/>
    </xf>
    <xf numFmtId="4" fontId="11" fillId="0" borderId="29" xfId="0" applyNumberFormat="1" applyFont="1" applyFill="1" applyBorder="1" applyAlignment="1">
      <alignment horizontal="center" vertical="center" wrapText="1"/>
    </xf>
    <xf numFmtId="4" fontId="11" fillId="0" borderId="4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textRotation="90" wrapText="1"/>
    </xf>
    <xf numFmtId="1" fontId="6" fillId="0" borderId="33" xfId="0" applyNumberFormat="1" applyFont="1" applyFill="1" applyBorder="1" applyAlignment="1">
      <alignment horizontal="center" vertical="center" textRotation="90" wrapText="1"/>
    </xf>
    <xf numFmtId="0" fontId="19" fillId="0" borderId="32" xfId="0" applyNumberFormat="1" applyFont="1" applyBorder="1" applyAlignment="1">
      <alignment horizontal="center" vertical="center" textRotation="90" wrapText="1"/>
    </xf>
    <xf numFmtId="0" fontId="19" fillId="0" borderId="17" xfId="0" applyNumberFormat="1" applyFont="1" applyBorder="1" applyAlignment="1">
      <alignment horizontal="center" vertical="center" textRotation="90" wrapText="1"/>
    </xf>
    <xf numFmtId="0" fontId="19" fillId="0" borderId="28" xfId="0" applyNumberFormat="1" applyFont="1" applyBorder="1" applyAlignment="1">
      <alignment horizontal="center" vertical="center" textRotation="90" wrapText="1"/>
    </xf>
    <xf numFmtId="1" fontId="6" fillId="4" borderId="38" xfId="0" applyNumberFormat="1" applyFont="1" applyFill="1" applyBorder="1" applyAlignment="1">
      <alignment horizontal="center" vertical="center" textRotation="90" wrapText="1"/>
    </xf>
    <xf numFmtId="0" fontId="0" fillId="0" borderId="39" xfId="0" applyBorder="1"/>
    <xf numFmtId="1" fontId="6" fillId="4" borderId="73" xfId="0" applyNumberFormat="1" applyFont="1" applyFill="1" applyBorder="1" applyAlignment="1">
      <alignment horizontal="center" vertical="center" textRotation="90" wrapText="1"/>
    </xf>
    <xf numFmtId="1" fontId="16" fillId="4" borderId="29" xfId="0" applyNumberFormat="1" applyFont="1" applyFill="1" applyBorder="1" applyAlignment="1">
      <alignment horizontal="center" vertical="center" textRotation="90" wrapText="1"/>
    </xf>
    <xf numFmtId="0" fontId="0" fillId="0" borderId="66" xfId="0" applyBorder="1"/>
    <xf numFmtId="0" fontId="19" fillId="5" borderId="32" xfId="0" applyNumberFormat="1" applyFont="1" applyFill="1" applyBorder="1" applyAlignment="1">
      <alignment horizontal="center" vertical="center" textRotation="90" wrapText="1"/>
    </xf>
    <xf numFmtId="0" fontId="19" fillId="5" borderId="17" xfId="0" applyNumberFormat="1" applyFont="1" applyFill="1" applyBorder="1" applyAlignment="1">
      <alignment horizontal="center" vertical="center" textRotation="90" wrapText="1"/>
    </xf>
    <xf numFmtId="0" fontId="19" fillId="5" borderId="28" xfId="0" applyNumberFormat="1" applyFont="1" applyFill="1" applyBorder="1" applyAlignment="1">
      <alignment horizontal="center" vertical="center" textRotation="90" wrapText="1"/>
    </xf>
    <xf numFmtId="1" fontId="10" fillId="0" borderId="29" xfId="0" applyNumberFormat="1" applyFont="1" applyFill="1" applyBorder="1" applyAlignment="1">
      <alignment horizontal="center" vertical="center" textRotation="90" wrapText="1"/>
    </xf>
    <xf numFmtId="0" fontId="19" fillId="5" borderId="32" xfId="0" applyNumberFormat="1" applyFont="1" applyFill="1" applyBorder="1" applyAlignment="1">
      <alignment horizontal="center" textRotation="90" wrapText="1"/>
    </xf>
    <xf numFmtId="0" fontId="19" fillId="5" borderId="17" xfId="0" applyNumberFormat="1" applyFont="1" applyFill="1" applyBorder="1" applyAlignment="1">
      <alignment horizontal="center" textRotation="90" wrapText="1"/>
    </xf>
    <xf numFmtId="0" fontId="19" fillId="5" borderId="28" xfId="0" applyNumberFormat="1" applyFont="1" applyFill="1" applyBorder="1" applyAlignment="1">
      <alignment horizontal="center" textRotation="90" wrapText="1"/>
    </xf>
    <xf numFmtId="0" fontId="19" fillId="5" borderId="32" xfId="0" applyNumberFormat="1" applyFont="1" applyFill="1" applyBorder="1" applyAlignment="1">
      <alignment horizontal="left" textRotation="90" wrapText="1"/>
    </xf>
    <xf numFmtId="0" fontId="19" fillId="5" borderId="17" xfId="0" applyNumberFormat="1" applyFont="1" applyFill="1" applyBorder="1" applyAlignment="1">
      <alignment horizontal="left" textRotation="90" wrapText="1"/>
    </xf>
    <xf numFmtId="0" fontId="19" fillId="5" borderId="28" xfId="0" applyNumberFormat="1" applyFont="1" applyFill="1" applyBorder="1" applyAlignment="1">
      <alignment horizontal="left" textRotation="90" wrapText="1"/>
    </xf>
    <xf numFmtId="0" fontId="19" fillId="5" borderId="32" xfId="0" applyNumberFormat="1" applyFont="1" applyFill="1" applyBorder="1" applyAlignment="1">
      <alignment horizontal="left" vertical="center" textRotation="90" wrapText="1"/>
    </xf>
    <xf numFmtId="0" fontId="19" fillId="5" borderId="17" xfId="0" applyNumberFormat="1" applyFont="1" applyFill="1" applyBorder="1" applyAlignment="1">
      <alignment horizontal="left" vertical="center" textRotation="90" wrapText="1"/>
    </xf>
    <xf numFmtId="0" fontId="19" fillId="5" borderId="28" xfId="0" applyNumberFormat="1" applyFont="1" applyFill="1" applyBorder="1" applyAlignment="1">
      <alignment horizontal="left" vertical="center" textRotation="90" wrapText="1"/>
    </xf>
    <xf numFmtId="1" fontId="10" fillId="0" borderId="38" xfId="0" applyNumberFormat="1" applyFont="1" applyFill="1" applyBorder="1" applyAlignment="1">
      <alignment horizontal="center" vertical="center" textRotation="90" wrapText="1"/>
    </xf>
    <xf numFmtId="0" fontId="6" fillId="0" borderId="40" xfId="0" applyFont="1" applyFill="1" applyBorder="1" applyAlignment="1">
      <alignment horizontal="center" vertical="center" textRotation="90" wrapText="1"/>
    </xf>
    <xf numFmtId="0" fontId="0" fillId="0" borderId="54" xfId="0" applyFill="1" applyBorder="1"/>
    <xf numFmtId="0" fontId="0" fillId="0" borderId="41" xfId="0" applyFill="1" applyBorder="1"/>
    <xf numFmtId="1" fontId="6" fillId="0" borderId="40" xfId="0" applyNumberFormat="1" applyFont="1" applyFill="1" applyBorder="1" applyAlignment="1">
      <alignment horizontal="center" vertical="center" textRotation="90"/>
    </xf>
    <xf numFmtId="3" fontId="11" fillId="0" borderId="29" xfId="0" applyNumberFormat="1" applyFont="1" applyFill="1" applyBorder="1" applyAlignment="1">
      <alignment horizontal="center" vertical="center" wrapText="1"/>
    </xf>
    <xf numFmtId="3" fontId="11" fillId="0" borderId="66" xfId="0" applyNumberFormat="1" applyFont="1" applyFill="1" applyBorder="1" applyAlignment="1">
      <alignment horizontal="center" vertical="center" wrapText="1"/>
    </xf>
    <xf numFmtId="168" fontId="11" fillId="0" borderId="40" xfId="0" applyNumberFormat="1" applyFont="1" applyFill="1" applyBorder="1" applyAlignment="1">
      <alignment horizontal="center" vertical="center" wrapText="1"/>
    </xf>
    <xf numFmtId="168" fontId="11" fillId="0" borderId="41" xfId="0" applyNumberFormat="1" applyFont="1" applyFill="1" applyBorder="1" applyAlignment="1">
      <alignment horizontal="center" vertical="center" wrapText="1"/>
    </xf>
    <xf numFmtId="1" fontId="6" fillId="0" borderId="38" xfId="0" applyNumberFormat="1" applyFont="1" applyFill="1" applyBorder="1" applyAlignment="1">
      <alignment horizontal="center" vertical="center" textRotation="90"/>
    </xf>
    <xf numFmtId="1" fontId="6" fillId="0" borderId="29" xfId="0" applyNumberFormat="1" applyFont="1" applyFill="1" applyBorder="1" applyAlignment="1">
      <alignment horizontal="center" vertical="center" textRotation="90"/>
    </xf>
    <xf numFmtId="1" fontId="6" fillId="0" borderId="72" xfId="0" applyNumberFormat="1" applyFont="1" applyFill="1" applyBorder="1" applyAlignment="1">
      <alignment horizontal="center" vertical="center" textRotation="90"/>
    </xf>
    <xf numFmtId="0" fontId="0" fillId="0" borderId="77" xfId="0" applyBorder="1"/>
    <xf numFmtId="168" fontId="11" fillId="0" borderId="72" xfId="0" applyNumberFormat="1" applyFont="1" applyFill="1" applyBorder="1" applyAlignment="1">
      <alignment horizontal="center" vertical="center" wrapText="1"/>
    </xf>
    <xf numFmtId="168" fontId="11" fillId="0" borderId="77" xfId="0" applyNumberFormat="1" applyFont="1" applyFill="1" applyBorder="1" applyAlignment="1">
      <alignment horizontal="center" vertical="center" wrapText="1"/>
    </xf>
    <xf numFmtId="4" fontId="11" fillId="0" borderId="73" xfId="0" applyNumberFormat="1" applyFont="1" applyFill="1" applyBorder="1" applyAlignment="1">
      <alignment horizontal="center" vertical="center" wrapText="1"/>
    </xf>
    <xf numFmtId="4" fontId="11" fillId="0" borderId="74" xfId="0" applyNumberFormat="1" applyFont="1" applyFill="1" applyBorder="1" applyAlignment="1">
      <alignment horizontal="center" vertical="center" wrapText="1"/>
    </xf>
    <xf numFmtId="1" fontId="5" fillId="0" borderId="61" xfId="0" applyNumberFormat="1" applyFont="1" applyFill="1" applyBorder="1" applyAlignment="1">
      <alignment horizontal="center"/>
    </xf>
    <xf numFmtId="1" fontId="5" fillId="0" borderId="65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 vertical="center" wrapText="1"/>
    </xf>
    <xf numFmtId="1" fontId="5" fillId="4" borderId="29" xfId="0" applyNumberFormat="1" applyFont="1" applyFill="1" applyBorder="1" applyAlignment="1">
      <alignment horizontal="center" vertical="center" textRotation="90" wrapText="1"/>
    </xf>
    <xf numFmtId="0" fontId="6" fillId="0" borderId="72" xfId="0" applyFont="1" applyFill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77" xfId="0" applyFont="1" applyFill="1" applyBorder="1" applyAlignment="1">
      <alignment horizontal="center" vertical="center" textRotation="90" wrapText="1"/>
    </xf>
    <xf numFmtId="169" fontId="11" fillId="0" borderId="32" xfId="0" applyNumberFormat="1" applyFont="1" applyFill="1" applyBorder="1" applyAlignment="1">
      <alignment horizontal="center" vertical="center" wrapText="1"/>
    </xf>
    <xf numFmtId="169" fontId="11" fillId="0" borderId="28" xfId="0" applyNumberFormat="1" applyFont="1" applyFill="1" applyBorder="1" applyAlignment="1">
      <alignment horizontal="center" vertical="center" wrapText="1"/>
    </xf>
    <xf numFmtId="3" fontId="11" fillId="0" borderId="32" xfId="0" applyNumberFormat="1" applyFont="1" applyFill="1" applyBorder="1" applyAlignment="1">
      <alignment horizontal="center" vertical="center" wrapText="1"/>
    </xf>
    <xf numFmtId="3" fontId="11" fillId="0" borderId="28" xfId="0" applyNumberFormat="1" applyFont="1" applyFill="1" applyBorder="1" applyAlignment="1">
      <alignment horizontal="center" vertical="center" wrapText="1"/>
    </xf>
    <xf numFmtId="168" fontId="10" fillId="0" borderId="70" xfId="0" applyNumberFormat="1" applyFont="1" applyFill="1" applyBorder="1" applyAlignment="1">
      <alignment horizontal="center" vertical="center" wrapText="1"/>
    </xf>
    <xf numFmtId="168" fontId="10" fillId="0" borderId="71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39" xfId="0" applyFont="1" applyFill="1" applyBorder="1" applyAlignment="1">
      <alignment horizontal="center" vertical="center" textRotation="90" wrapText="1"/>
    </xf>
    <xf numFmtId="0" fontId="36" fillId="0" borderId="3" xfId="0" applyFont="1" applyBorder="1" applyAlignment="1">
      <alignment horizontal="right" vertical="center"/>
    </xf>
    <xf numFmtId="0" fontId="37" fillId="0" borderId="3" xfId="0" applyFont="1" applyBorder="1" applyAlignment="1">
      <alignment horizontal="center" vertical="center"/>
    </xf>
    <xf numFmtId="0" fontId="76" fillId="0" borderId="0" xfId="4" applyFont="1" applyAlignment="1">
      <alignment horizontal="center" vertical="center" wrapText="1"/>
    </xf>
    <xf numFmtId="0" fontId="37" fillId="0" borderId="55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3" fontId="37" fillId="0" borderId="69" xfId="0" applyNumberFormat="1" applyFont="1" applyBorder="1" applyAlignment="1">
      <alignment horizontal="center" vertical="center"/>
    </xf>
    <xf numFmtId="3" fontId="37" fillId="0" borderId="8" xfId="0" applyNumberFormat="1" applyFont="1" applyBorder="1" applyAlignment="1">
      <alignment horizontal="center" vertical="center"/>
    </xf>
    <xf numFmtId="3" fontId="37" fillId="0" borderId="14" xfId="0" applyNumberFormat="1" applyFont="1" applyBorder="1" applyAlignment="1">
      <alignment horizontal="center" vertical="center"/>
    </xf>
    <xf numFmtId="0" fontId="62" fillId="0" borderId="55" xfId="4" applyFont="1" applyBorder="1" applyAlignment="1">
      <alignment horizontal="center" vertical="center"/>
    </xf>
    <xf numFmtId="0" fontId="62" fillId="0" borderId="23" xfId="4" applyFont="1" applyBorder="1" applyAlignment="1">
      <alignment horizontal="center" vertical="center"/>
    </xf>
    <xf numFmtId="0" fontId="62" fillId="0" borderId="26" xfId="4" applyFont="1" applyBorder="1" applyAlignment="1">
      <alignment horizontal="center" vertical="center"/>
    </xf>
    <xf numFmtId="0" fontId="61" fillId="0" borderId="23" xfId="4" applyFont="1" applyBorder="1" applyAlignment="1">
      <alignment horizontal="center" vertical="center" wrapText="1"/>
    </xf>
    <xf numFmtId="0" fontId="61" fillId="0" borderId="8" xfId="4" applyFont="1" applyBorder="1" applyAlignment="1">
      <alignment horizontal="center" vertical="center" wrapText="1"/>
    </xf>
    <xf numFmtId="0" fontId="61" fillId="0" borderId="55" xfId="4" applyFont="1" applyBorder="1" applyAlignment="1">
      <alignment horizontal="center" vertical="center" wrapText="1"/>
    </xf>
    <xf numFmtId="0" fontId="61" fillId="0" borderId="69" xfId="4" applyFont="1" applyBorder="1" applyAlignment="1">
      <alignment horizontal="center" vertical="center" wrapText="1"/>
    </xf>
    <xf numFmtId="0" fontId="61" fillId="0" borderId="38" xfId="4" applyFont="1" applyBorder="1" applyAlignment="1">
      <alignment horizontal="center" vertical="center" textRotation="90" wrapText="1"/>
    </xf>
    <xf numFmtId="0" fontId="61" fillId="0" borderId="39" xfId="4" applyFont="1" applyBorder="1" applyAlignment="1">
      <alignment horizontal="center" vertical="center" textRotation="90" wrapText="1"/>
    </xf>
    <xf numFmtId="3" fontId="36" fillId="0" borderId="8" xfId="0" applyNumberFormat="1" applyFont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36" fillId="0" borderId="55" xfId="0" applyNumberFormat="1" applyFont="1" applyBorder="1" applyAlignment="1">
      <alignment horizontal="center" vertical="center"/>
    </xf>
    <xf numFmtId="3" fontId="36" fillId="0" borderId="23" xfId="0" applyNumberFormat="1" applyFont="1" applyBorder="1" applyAlignment="1">
      <alignment horizontal="center" vertical="center"/>
    </xf>
    <xf numFmtId="3" fontId="36" fillId="0" borderId="69" xfId="0" applyNumberFormat="1" applyFont="1" applyBorder="1" applyAlignment="1">
      <alignment horizontal="center" vertical="center"/>
    </xf>
    <xf numFmtId="4" fontId="36" fillId="0" borderId="20" xfId="0" applyNumberFormat="1" applyFont="1" applyBorder="1" applyAlignment="1">
      <alignment horizontal="center" vertical="center"/>
    </xf>
    <xf numFmtId="4" fontId="36" fillId="0" borderId="19" xfId="0" applyNumberFormat="1" applyFont="1" applyBorder="1" applyAlignment="1">
      <alignment horizontal="center" vertical="center"/>
    </xf>
    <xf numFmtId="4" fontId="36" fillId="0" borderId="21" xfId="0" applyNumberFormat="1" applyFont="1" applyBorder="1" applyAlignment="1">
      <alignment horizontal="center" vertical="center"/>
    </xf>
    <xf numFmtId="4" fontId="37" fillId="0" borderId="20" xfId="0" applyNumberFormat="1" applyFont="1" applyBorder="1" applyAlignment="1">
      <alignment horizontal="center" vertical="center"/>
    </xf>
    <xf numFmtId="4" fontId="37" fillId="0" borderId="21" xfId="0" applyNumberFormat="1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3" fontId="37" fillId="0" borderId="20" xfId="0" applyNumberFormat="1" applyFont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/>
    </xf>
    <xf numFmtId="0" fontId="82" fillId="0" borderId="13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 wrapText="1"/>
    </xf>
    <xf numFmtId="0" fontId="76" fillId="8" borderId="64" xfId="0" applyFont="1" applyFill="1" applyBorder="1" applyAlignment="1">
      <alignment horizontal="center" vertical="center" wrapText="1"/>
    </xf>
    <xf numFmtId="0" fontId="76" fillId="8" borderId="61" xfId="0" applyFont="1" applyFill="1" applyBorder="1" applyAlignment="1">
      <alignment horizontal="center" vertical="center" wrapText="1"/>
    </xf>
    <xf numFmtId="0" fontId="76" fillId="8" borderId="65" xfId="0" applyFont="1" applyFill="1" applyBorder="1" applyAlignment="1">
      <alignment horizontal="center" vertical="center" wrapText="1"/>
    </xf>
    <xf numFmtId="0" fontId="60" fillId="0" borderId="3" xfId="0" applyFont="1" applyFill="1" applyBorder="1" applyAlignment="1">
      <alignment horizontal="center" vertical="center" textRotation="90" wrapText="1"/>
    </xf>
    <xf numFmtId="0" fontId="60" fillId="0" borderId="8" xfId="0" applyFont="1" applyFill="1" applyBorder="1" applyAlignment="1">
      <alignment horizontal="center" vertical="center" textRotation="90" wrapText="1"/>
    </xf>
    <xf numFmtId="0" fontId="118" fillId="0" borderId="0" xfId="0" applyFont="1" applyFill="1" applyAlignment="1">
      <alignment horizontal="left"/>
    </xf>
    <xf numFmtId="0" fontId="118" fillId="0" borderId="0" xfId="0" applyFont="1" applyFill="1" applyAlignment="1">
      <alignment horizontal="left" wrapText="1"/>
    </xf>
    <xf numFmtId="0" fontId="120" fillId="0" borderId="0" xfId="0" applyFont="1" applyFill="1" applyAlignment="1">
      <alignment horizontal="center" vertical="center"/>
    </xf>
    <xf numFmtId="0" fontId="121" fillId="0" borderId="0" xfId="0" applyFont="1" applyFill="1" applyAlignment="1">
      <alignment horizontal="center" vertical="center"/>
    </xf>
    <xf numFmtId="49" fontId="60" fillId="0" borderId="49" xfId="0" applyNumberFormat="1" applyFont="1" applyFill="1" applyBorder="1" applyAlignment="1">
      <alignment horizontal="center" vertical="center" wrapText="1"/>
    </xf>
    <xf numFmtId="49" fontId="60" fillId="0" borderId="11" xfId="0" applyNumberFormat="1" applyFont="1" applyFill="1" applyBorder="1" applyAlignment="1">
      <alignment horizontal="center" vertical="center" wrapText="1"/>
    </xf>
    <xf numFmtId="49" fontId="60" fillId="0" borderId="75" xfId="0" applyNumberFormat="1" applyFont="1" applyFill="1" applyBorder="1" applyAlignment="1">
      <alignment horizontal="center" vertical="center" wrapText="1"/>
    </xf>
    <xf numFmtId="0" fontId="60" fillId="0" borderId="34" xfId="0" applyFont="1" applyFill="1" applyBorder="1" applyAlignment="1">
      <alignment horizontal="center" vertical="center" textRotation="90" wrapText="1"/>
    </xf>
    <xf numFmtId="0" fontId="60" fillId="0" borderId="35" xfId="0" applyFont="1" applyFill="1" applyBorder="1" applyAlignment="1">
      <alignment horizontal="center" vertical="center" textRotation="90" wrapText="1"/>
    </xf>
    <xf numFmtId="0" fontId="60" fillId="0" borderId="47" xfId="0" applyFont="1" applyFill="1" applyBorder="1" applyAlignment="1">
      <alignment horizontal="center" vertical="center" textRotation="90" wrapText="1"/>
    </xf>
    <xf numFmtId="0" fontId="52" fillId="0" borderId="34" xfId="0" applyFont="1" applyFill="1" applyBorder="1" applyAlignment="1">
      <alignment horizontal="center" vertical="center" textRotation="90" wrapText="1"/>
    </xf>
    <xf numFmtId="0" fontId="52" fillId="0" borderId="35" xfId="0" applyFont="1" applyFill="1" applyBorder="1" applyAlignment="1">
      <alignment horizontal="center" vertical="center" textRotation="90" wrapText="1"/>
    </xf>
    <xf numFmtId="0" fontId="52" fillId="0" borderId="47" xfId="0" applyFont="1" applyFill="1" applyBorder="1" applyAlignment="1">
      <alignment horizontal="center" vertical="center" textRotation="90" wrapText="1"/>
    </xf>
    <xf numFmtId="0" fontId="60" fillId="0" borderId="55" xfId="0" applyFont="1" applyFill="1" applyBorder="1" applyAlignment="1">
      <alignment horizontal="center" vertical="center" textRotation="90"/>
    </xf>
    <xf numFmtId="0" fontId="60" fillId="0" borderId="51" xfId="0" applyFont="1" applyFill="1" applyBorder="1" applyAlignment="1">
      <alignment horizontal="center" vertical="center" textRotation="90"/>
    </xf>
    <xf numFmtId="0" fontId="60" fillId="0" borderId="69" xfId="0" applyFont="1" applyFill="1" applyBorder="1" applyAlignment="1">
      <alignment horizontal="center" vertical="center" textRotation="90"/>
    </xf>
    <xf numFmtId="0" fontId="60" fillId="0" borderId="23" xfId="0" applyFont="1" applyFill="1" applyBorder="1" applyAlignment="1">
      <alignment horizontal="center" vertical="center" textRotation="90" wrapText="1"/>
    </xf>
    <xf numFmtId="4" fontId="60" fillId="0" borderId="15" xfId="0" applyNumberFormat="1" applyFont="1" applyBorder="1" applyAlignment="1">
      <alignment horizontal="center" vertical="center" wrapText="1"/>
    </xf>
    <xf numFmtId="4" fontId="60" fillId="0" borderId="17" xfId="0" applyNumberFormat="1" applyFont="1" applyBorder="1" applyAlignment="1">
      <alignment horizontal="center" vertical="center"/>
    </xf>
    <xf numFmtId="4" fontId="60" fillId="0" borderId="1" xfId="0" applyNumberFormat="1" applyFont="1" applyBorder="1" applyAlignment="1">
      <alignment horizontal="center" vertical="center"/>
    </xf>
    <xf numFmtId="0" fontId="60" fillId="0" borderId="38" xfId="0" applyFont="1" applyFill="1" applyBorder="1" applyAlignment="1">
      <alignment horizontal="center" vertical="center" textRotation="90"/>
    </xf>
    <xf numFmtId="0" fontId="60" fillId="0" borderId="18" xfId="0" applyFont="1" applyFill="1" applyBorder="1" applyAlignment="1">
      <alignment horizontal="center" vertical="center" textRotation="90"/>
    </xf>
    <xf numFmtId="0" fontId="60" fillId="0" borderId="39" xfId="0" applyFont="1" applyFill="1" applyBorder="1" applyAlignment="1">
      <alignment horizontal="center" vertical="center" textRotation="90"/>
    </xf>
    <xf numFmtId="4" fontId="60" fillId="0" borderId="0" xfId="0" applyNumberFormat="1" applyFont="1" applyFill="1" applyBorder="1" applyAlignment="1">
      <alignment horizontal="center" vertical="center" wrapText="1"/>
    </xf>
    <xf numFmtId="4" fontId="60" fillId="0" borderId="3" xfId="0" applyNumberFormat="1" applyFont="1" applyBorder="1" applyAlignment="1">
      <alignment horizontal="center" vertical="center" wrapText="1"/>
    </xf>
    <xf numFmtId="49" fontId="60" fillId="0" borderId="15" xfId="0" applyNumberFormat="1" applyFont="1" applyBorder="1" applyAlignment="1">
      <alignment horizontal="center" vertical="center"/>
    </xf>
    <xf numFmtId="49" fontId="60" fillId="0" borderId="17" xfId="0" applyNumberFormat="1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4" fontId="92" fillId="0" borderId="0" xfId="0" applyNumberFormat="1" applyFont="1" applyFill="1" applyBorder="1" applyAlignment="1">
      <alignment horizontal="center" vertical="center" wrapText="1"/>
    </xf>
    <xf numFmtId="4" fontId="52" fillId="4" borderId="64" xfId="0" applyNumberFormat="1" applyFont="1" applyFill="1" applyBorder="1" applyAlignment="1">
      <alignment horizontal="center" vertical="center"/>
    </xf>
    <xf numFmtId="4" fontId="52" fillId="4" borderId="61" xfId="0" applyNumberFormat="1" applyFont="1" applyFill="1" applyBorder="1" applyAlignment="1">
      <alignment horizontal="center" vertical="center"/>
    </xf>
    <xf numFmtId="4" fontId="52" fillId="4" borderId="65" xfId="0" applyNumberFormat="1" applyFont="1" applyFill="1" applyBorder="1" applyAlignment="1">
      <alignment horizontal="center" vertical="center"/>
    </xf>
    <xf numFmtId="0" fontId="60" fillId="0" borderId="52" xfId="0" applyFont="1" applyFill="1" applyBorder="1" applyAlignment="1">
      <alignment horizontal="center" vertical="center" textRotation="90" wrapText="1"/>
    </xf>
    <xf numFmtId="0" fontId="60" fillId="0" borderId="39" xfId="0" applyFont="1" applyFill="1" applyBorder="1" applyAlignment="1">
      <alignment horizontal="center" vertical="center" textRotation="90" wrapText="1"/>
    </xf>
    <xf numFmtId="0" fontId="126" fillId="4" borderId="34" xfId="0" applyFont="1" applyFill="1" applyBorder="1" applyAlignment="1">
      <alignment horizontal="center" vertical="center" wrapText="1"/>
    </xf>
    <xf numFmtId="0" fontId="126" fillId="4" borderId="47" xfId="0" applyFont="1" applyFill="1" applyBorder="1" applyAlignment="1">
      <alignment horizontal="center" vertical="center" wrapText="1"/>
    </xf>
    <xf numFmtId="4" fontId="126" fillId="4" borderId="34" xfId="0" applyNumberFormat="1" applyFont="1" applyFill="1" applyBorder="1" applyAlignment="1">
      <alignment horizontal="center" vertical="center"/>
    </xf>
    <xf numFmtId="4" fontId="126" fillId="4" borderId="47" xfId="0" applyNumberFormat="1" applyFont="1" applyFill="1" applyBorder="1" applyAlignment="1">
      <alignment horizontal="center" vertical="center"/>
    </xf>
    <xf numFmtId="3" fontId="126" fillId="4" borderId="34" xfId="0" applyNumberFormat="1" applyFont="1" applyFill="1" applyBorder="1" applyAlignment="1">
      <alignment horizontal="center" vertical="center"/>
    </xf>
    <xf numFmtId="3" fontId="126" fillId="4" borderId="47" xfId="0" applyNumberFormat="1" applyFont="1" applyFill="1" applyBorder="1" applyAlignment="1">
      <alignment horizontal="center" vertical="center"/>
    </xf>
    <xf numFmtId="3" fontId="126" fillId="4" borderId="38" xfId="0" applyNumberFormat="1" applyFont="1" applyFill="1" applyBorder="1" applyAlignment="1">
      <alignment horizontal="center" vertical="center"/>
    </xf>
    <xf numFmtId="3" fontId="126" fillId="4" borderId="39" xfId="0" applyNumberFormat="1" applyFont="1" applyFill="1" applyBorder="1" applyAlignment="1">
      <alignment horizontal="center" vertical="center"/>
    </xf>
    <xf numFmtId="0" fontId="52" fillId="0" borderId="40" xfId="0" applyFont="1" applyFill="1" applyBorder="1" applyAlignment="1">
      <alignment horizontal="center" vertical="center" textRotation="90" wrapText="1"/>
    </xf>
    <xf numFmtId="0" fontId="52" fillId="0" borderId="54" xfId="0" applyFont="1" applyFill="1" applyBorder="1" applyAlignment="1">
      <alignment horizontal="center" vertical="center" textRotation="90" wrapText="1"/>
    </xf>
    <xf numFmtId="0" fontId="52" fillId="0" borderId="41" xfId="0" applyFont="1" applyFill="1" applyBorder="1" applyAlignment="1">
      <alignment horizontal="center" vertical="center" textRotation="90" wrapText="1"/>
    </xf>
    <xf numFmtId="0" fontId="52" fillId="0" borderId="38" xfId="0" applyFont="1" applyFill="1" applyBorder="1" applyAlignment="1">
      <alignment horizontal="center" vertical="center" textRotation="90" wrapText="1"/>
    </xf>
    <xf numFmtId="0" fontId="52" fillId="0" borderId="18" xfId="0" applyFont="1" applyFill="1" applyBorder="1" applyAlignment="1">
      <alignment horizontal="center" vertical="center" textRotation="90" wrapText="1"/>
    </xf>
    <xf numFmtId="0" fontId="52" fillId="0" borderId="39" xfId="0" applyFont="1" applyFill="1" applyBorder="1" applyAlignment="1">
      <alignment horizontal="center" vertical="center" textRotation="90" wrapText="1"/>
    </xf>
    <xf numFmtId="171" fontId="60" fillId="0" borderId="42" xfId="0" applyNumberFormat="1" applyFont="1" applyFill="1" applyBorder="1" applyAlignment="1">
      <alignment horizontal="center" vertical="center" textRotation="90" wrapText="1"/>
    </xf>
    <xf numFmtId="171" fontId="60" fillId="0" borderId="43" xfId="0" applyNumberFormat="1" applyFont="1" applyFill="1" applyBorder="1" applyAlignment="1">
      <alignment horizontal="center" vertical="center" textRotation="90" wrapText="1"/>
    </xf>
    <xf numFmtId="171" fontId="60" fillId="0" borderId="44" xfId="0" applyNumberFormat="1" applyFont="1" applyFill="1" applyBorder="1" applyAlignment="1">
      <alignment horizontal="center" vertical="center" textRotation="90" wrapText="1"/>
    </xf>
    <xf numFmtId="0" fontId="60" fillId="0" borderId="55" xfId="0" applyFont="1" applyFill="1" applyBorder="1" applyAlignment="1">
      <alignment horizontal="center" vertical="center"/>
    </xf>
    <xf numFmtId="0" fontId="60" fillId="0" borderId="23" xfId="0" applyFont="1" applyFill="1" applyBorder="1" applyAlignment="1">
      <alignment horizontal="center" vertical="center"/>
    </xf>
    <xf numFmtId="0" fontId="60" fillId="0" borderId="26" xfId="0" applyFont="1" applyFill="1" applyBorder="1" applyAlignment="1">
      <alignment horizontal="center" vertical="center"/>
    </xf>
    <xf numFmtId="0" fontId="60" fillId="0" borderId="51" xfId="0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/>
    </xf>
    <xf numFmtId="4" fontId="92" fillId="0" borderId="0" xfId="0" applyNumberFormat="1" applyFont="1" applyFill="1" applyAlignment="1">
      <alignment horizontal="center" vertical="center"/>
    </xf>
    <xf numFmtId="0" fontId="36" fillId="0" borderId="68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7" fillId="6" borderId="64" xfId="0" applyFont="1" applyFill="1" applyBorder="1" applyAlignment="1">
      <alignment horizontal="center" vertical="center"/>
    </xf>
    <xf numFmtId="0" fontId="37" fillId="6" borderId="65" xfId="0" applyFont="1" applyFill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0" borderId="38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3" fontId="37" fillId="0" borderId="34" xfId="0" applyNumberFormat="1" applyFont="1" applyBorder="1" applyAlignment="1">
      <alignment horizontal="center" vertical="center"/>
    </xf>
    <xf numFmtId="3" fontId="37" fillId="0" borderId="35" xfId="0" applyNumberFormat="1" applyFont="1" applyBorder="1" applyAlignment="1">
      <alignment horizontal="center" vertical="center"/>
    </xf>
    <xf numFmtId="49" fontId="37" fillId="0" borderId="34" xfId="0" applyNumberFormat="1" applyFont="1" applyBorder="1" applyAlignment="1">
      <alignment horizontal="center" vertical="center" wrapText="1"/>
    </xf>
    <xf numFmtId="49" fontId="37" fillId="0" borderId="35" xfId="0" applyNumberFormat="1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 wrapText="1"/>
    </xf>
    <xf numFmtId="165" fontId="36" fillId="0" borderId="35" xfId="0" applyNumberFormat="1" applyFont="1" applyBorder="1" applyAlignment="1">
      <alignment horizontal="center" vertical="center" wrapText="1"/>
    </xf>
    <xf numFmtId="4" fontId="37" fillId="0" borderId="34" xfId="0" applyNumberFormat="1" applyFont="1" applyBorder="1" applyAlignment="1">
      <alignment horizontal="center" vertical="center"/>
    </xf>
    <xf numFmtId="4" fontId="37" fillId="0" borderId="35" xfId="0" applyNumberFormat="1" applyFont="1" applyBorder="1" applyAlignment="1">
      <alignment horizontal="center" vertical="center"/>
    </xf>
    <xf numFmtId="3" fontId="37" fillId="0" borderId="47" xfId="0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49" fontId="37" fillId="0" borderId="47" xfId="0" applyNumberFormat="1" applyFont="1" applyBorder="1" applyAlignment="1">
      <alignment horizontal="center" vertical="center"/>
    </xf>
    <xf numFmtId="165" fontId="36" fillId="0" borderId="47" xfId="0" applyNumberFormat="1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6" fillId="0" borderId="39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4" fontId="37" fillId="0" borderId="47" xfId="0" applyNumberFormat="1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textRotation="90" wrapText="1"/>
    </xf>
    <xf numFmtId="0" fontId="36" fillId="0" borderId="35" xfId="0" applyFont="1" applyBorder="1" applyAlignment="1">
      <alignment horizontal="center" vertical="center" textRotation="90" wrapText="1"/>
    </xf>
    <xf numFmtId="0" fontId="36" fillId="0" borderId="47" xfId="0" applyFont="1" applyBorder="1" applyAlignment="1">
      <alignment horizontal="center" vertical="center" textRotation="90" wrapText="1"/>
    </xf>
    <xf numFmtId="0" fontId="36" fillId="0" borderId="49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center"/>
    </xf>
  </cellXfs>
  <cellStyles count="5">
    <cellStyle name="Обычный" xfId="0" builtinId="0"/>
    <cellStyle name="Обычный 2" xfId="1"/>
    <cellStyle name="Обычный 3" xfId="4"/>
    <cellStyle name="Обычный 4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chgkh\AppData\Local\Temp\pid-6364\&#1043;&#1056;&#1040;&#1060;&#1048;&#1050;%20&#1062;&#1045;&#1053;&#1058;&#1056;&#1054;&#1051;&#1048;&#1058;%202-&#1081;%20&#1091;&#1095;&#1072;&#1089;&#1090;&#1086;&#1082;%20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chgkh\AppData\Local\Temp\pid-6364\&#1042;&#1067;&#1055;&#1054;&#1051;&#1053;&#1045;&#1053;&#1048;&#1045;%20%20&#1054;&#1050;&#1058;&#1071;&#1041;&#1056;&#1068;%20&#1062;&#1045;&#1053;&#1058;&#1056;&#1054;&#1051;&#1048;&#1058;%201-&#1081;%20&#1091;&#1095;&#1072;&#1089;&#1090;&#1086;&#1082;%20(&#1074;%20&#1094;&#1077;&#1085;&#1072;&#1093;%20&#1085;&#1077;&#1080;&#1079;&#1084;&#1077;&#1085;&#1085;&#1086;&#108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chgkh\AppData\Local\Temp\pid-6364\&#1043;&#1056;&#1040;&#1060;&#1048;&#1050;%20&#1062;&#1045;&#1053;&#1058;&#1056;&#1054;&#1051;&#1048;&#1058;%201-&#1081;%20&#1091;&#1095;&#1072;&#1089;&#1090;&#1086;&#1082;%20&#1052;&#1040;&#1056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ЁМЫ"/>
      <sheetName val="ОСНОВНЫЕ ОБЪЁМЫ"/>
      <sheetName val="1-8-Q4"/>
      <sheetName val="1-9-Q4"/>
      <sheetName val="1-10-Q4"/>
      <sheetName val="1-11-Q4"/>
      <sheetName val="1-12-Q4"/>
      <sheetName val="1-13-Q4"/>
      <sheetName val="Q4 2-24"/>
      <sheetName val="ДРСУ №113"/>
      <sheetName val="МАТЕРИАЛЫ"/>
    </sheetNames>
    <sheetDataSet>
      <sheetData sheetId="0"/>
      <sheetData sheetId="1">
        <row r="80">
          <cell r="HB80">
            <v>41.434000000000005</v>
          </cell>
        </row>
        <row r="82">
          <cell r="HB82">
            <v>82.971999999999994</v>
          </cell>
        </row>
        <row r="83">
          <cell r="HB83">
            <v>49.783999999999999</v>
          </cell>
        </row>
        <row r="106">
          <cell r="GW106">
            <v>0.4</v>
          </cell>
          <cell r="LN106">
            <v>0.42199999999999999</v>
          </cell>
        </row>
        <row r="107">
          <cell r="GW107">
            <v>0.39</v>
          </cell>
          <cell r="LN107">
            <v>11.916</v>
          </cell>
        </row>
        <row r="109">
          <cell r="GV109">
            <v>753</v>
          </cell>
        </row>
        <row r="134">
          <cell r="GV134">
            <v>0</v>
          </cell>
        </row>
        <row r="224">
          <cell r="GY224">
            <v>1446.16</v>
          </cell>
          <cell r="GZ224">
            <v>140.61109999999999</v>
          </cell>
          <cell r="HA224">
            <v>229.47221000000002</v>
          </cell>
          <cell r="HC224">
            <v>846.27224000000001</v>
          </cell>
          <cell r="HD224">
            <v>251.28299999999999</v>
          </cell>
          <cell r="HF224">
            <v>241.24500000000003</v>
          </cell>
          <cell r="HG224">
            <v>480.90305000000001</v>
          </cell>
          <cell r="HJ224">
            <v>2028.53079</v>
          </cell>
          <cell r="HL224">
            <v>2663.5852</v>
          </cell>
          <cell r="HN224">
            <v>1511.2</v>
          </cell>
        </row>
        <row r="227">
          <cell r="IE227">
            <v>1402315.0896151287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ЁМЫ"/>
      <sheetName val="ОСНОВНЫЕ ОБЪЁМЫ"/>
      <sheetName val="Август"/>
      <sheetName val="на 01.02.2023"/>
      <sheetName val="ОПОРЫ"/>
      <sheetName val="ДОР.ЧАСТЬ"/>
      <sheetName val="ВОДОПРОВОД"/>
      <sheetName val="Светофор"/>
      <sheetName val="Связи"/>
      <sheetName val="ЭЛЕКТРИКА"/>
    </sheetNames>
    <sheetDataSet>
      <sheetData sheetId="0" refreshError="1"/>
      <sheetData sheetId="1">
        <row r="54">
          <cell r="DH54">
            <v>0</v>
          </cell>
        </row>
        <row r="143">
          <cell r="DK143">
            <v>0</v>
          </cell>
          <cell r="DL143">
            <v>0</v>
          </cell>
          <cell r="DM143">
            <v>0</v>
          </cell>
          <cell r="DN143">
            <v>102.20806618936649</v>
          </cell>
          <cell r="DO143">
            <v>19.968792374999985</v>
          </cell>
          <cell r="DP143">
            <v>0</v>
          </cell>
          <cell r="DQ143">
            <v>263.37576705732005</v>
          </cell>
          <cell r="DR143">
            <v>0</v>
          </cell>
          <cell r="DS143">
            <v>68.815261349000011</v>
          </cell>
          <cell r="DT143">
            <v>68.815261349000011</v>
          </cell>
          <cell r="DU143">
            <v>12.0836671312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ЁМЫ"/>
      <sheetName val="ОСНОВНЫЕ ОБЪЁМЫ"/>
      <sheetName val="Август"/>
      <sheetName val="на 01.02.2023"/>
      <sheetName val="ОПОРЫ"/>
      <sheetName val="ДОР.ЧАСТЬ"/>
      <sheetName val="ВОДОПРОВОД"/>
      <sheetName val="Светофор"/>
      <sheetName val="Связи"/>
      <sheetName val="ЭЛЕКТРИКА"/>
    </sheetNames>
    <sheetDataSet>
      <sheetData sheetId="0"/>
      <sheetData sheetId="1">
        <row r="96">
          <cell r="MH96">
            <v>128.15559999999985</v>
          </cell>
          <cell r="ML96">
            <v>188.10339999999988</v>
          </cell>
        </row>
        <row r="97">
          <cell r="MT97">
            <v>48360.12233070103</v>
          </cell>
        </row>
        <row r="100">
          <cell r="MH100">
            <v>11.17980000000003</v>
          </cell>
          <cell r="ML100">
            <v>16.409399999999948</v>
          </cell>
        </row>
        <row r="109">
          <cell r="KZ109">
            <v>0</v>
          </cell>
        </row>
        <row r="112">
          <cell r="MH112">
            <v>128.35655999999983</v>
          </cell>
          <cell r="MK112">
            <v>475.67404000000096</v>
          </cell>
        </row>
        <row r="143">
          <cell r="MS143">
            <v>158.5386</v>
          </cell>
        </row>
        <row r="146">
          <cell r="MT146">
            <v>101091.7179143359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08"/>
  <sheetViews>
    <sheetView view="pageBreakPreview" topLeftCell="A20" zoomScale="115" zoomScaleSheetLayoutView="115" workbookViewId="0">
      <selection activeCell="AH20" sqref="AH1:AH1048576"/>
    </sheetView>
  </sheetViews>
  <sheetFormatPr defaultRowHeight="12.75" x14ac:dyDescent="0.2"/>
  <cols>
    <col min="1" max="1" width="2.85546875" customWidth="1"/>
    <col min="2" max="2" width="62.5703125" customWidth="1"/>
    <col min="3" max="3" width="13" customWidth="1"/>
    <col min="4" max="4" width="14.140625" customWidth="1"/>
    <col min="5" max="5" width="2" customWidth="1"/>
    <col min="6" max="10" width="10.28515625" hidden="1" customWidth="1"/>
    <col min="11" max="12" width="11.140625" hidden="1" customWidth="1"/>
    <col min="13" max="13" width="13" hidden="1" customWidth="1"/>
    <col min="14" max="14" width="14.140625" hidden="1" customWidth="1"/>
    <col min="15" max="15" width="18.5703125" hidden="1" customWidth="1"/>
    <col min="16" max="16" width="13.7109375" hidden="1" customWidth="1"/>
    <col min="17" max="18" width="11.7109375" hidden="1" customWidth="1"/>
    <col min="19" max="19" width="10.140625" hidden="1" customWidth="1"/>
    <col min="20" max="20" width="9.140625" hidden="1" customWidth="1"/>
    <col min="21" max="21" width="9.140625" customWidth="1"/>
  </cols>
  <sheetData>
    <row r="1" spans="2:16" ht="14.25" x14ac:dyDescent="0.2">
      <c r="B1" s="34"/>
      <c r="C1" s="2019" t="s">
        <v>149</v>
      </c>
      <c r="D1" s="2019"/>
    </row>
    <row r="2" spans="2:16" ht="14.25" x14ac:dyDescent="0.2">
      <c r="B2" s="34"/>
      <c r="C2" s="52"/>
      <c r="D2" s="52"/>
      <c r="F2" s="724"/>
      <c r="G2" s="816"/>
      <c r="H2" s="816"/>
      <c r="I2" s="816"/>
      <c r="J2" s="816"/>
      <c r="K2" s="724"/>
      <c r="L2" s="816"/>
      <c r="M2" s="816"/>
      <c r="N2" s="724"/>
    </row>
    <row r="3" spans="2:16" ht="14.25" x14ac:dyDescent="0.2">
      <c r="B3" s="34"/>
      <c r="C3" s="35"/>
      <c r="D3" s="36" t="s">
        <v>209</v>
      </c>
      <c r="F3" s="36"/>
      <c r="G3" s="36"/>
      <c r="H3" s="36"/>
      <c r="I3" s="36"/>
      <c r="J3" s="36"/>
      <c r="K3" s="36"/>
      <c r="L3" s="36"/>
      <c r="M3" s="36"/>
      <c r="N3" s="36"/>
    </row>
    <row r="4" spans="2:16" ht="14.25" x14ac:dyDescent="0.2">
      <c r="B4" s="34" t="s">
        <v>150</v>
      </c>
      <c r="C4" s="34"/>
      <c r="D4" s="34"/>
      <c r="F4" s="34"/>
      <c r="G4" s="34"/>
      <c r="H4" s="34"/>
      <c r="I4" s="34"/>
      <c r="J4" s="34"/>
      <c r="K4" s="34"/>
      <c r="L4" s="34"/>
      <c r="M4" s="34"/>
      <c r="N4" s="34"/>
    </row>
    <row r="5" spans="2:16" ht="14.25" x14ac:dyDescent="0.2">
      <c r="B5" s="34"/>
      <c r="C5" s="34"/>
      <c r="D5" s="34"/>
      <c r="F5" s="34"/>
      <c r="G5" s="34"/>
      <c r="H5" s="34"/>
      <c r="I5" s="34"/>
      <c r="J5" s="34"/>
      <c r="K5" s="34"/>
      <c r="L5" s="34"/>
      <c r="M5" s="34"/>
      <c r="N5" s="34"/>
    </row>
    <row r="6" spans="2:16" ht="14.25" x14ac:dyDescent="0.2">
      <c r="B6" s="2019" t="s">
        <v>151</v>
      </c>
      <c r="C6" s="2019"/>
      <c r="D6" s="2019"/>
    </row>
    <row r="7" spans="2:16" ht="15" x14ac:dyDescent="0.25">
      <c r="B7" s="2020" t="s">
        <v>828</v>
      </c>
      <c r="C7" s="2020"/>
      <c r="D7" s="2020"/>
    </row>
    <row r="8" spans="2:16" ht="15" thickBot="1" x14ac:dyDescent="0.25">
      <c r="B8" s="34"/>
      <c r="C8" s="34"/>
      <c r="D8" s="34"/>
      <c r="F8" s="34"/>
      <c r="G8" s="34"/>
      <c r="H8" s="34"/>
      <c r="I8" s="34"/>
      <c r="J8" s="34"/>
      <c r="K8" s="34"/>
      <c r="L8" s="34"/>
      <c r="M8" s="34"/>
      <c r="N8" s="34"/>
    </row>
    <row r="9" spans="2:16" ht="14.25" x14ac:dyDescent="0.2">
      <c r="B9" s="2021" t="s">
        <v>152</v>
      </c>
      <c r="C9" s="2023" t="s">
        <v>841</v>
      </c>
      <c r="D9" s="2025" t="s">
        <v>840</v>
      </c>
      <c r="F9" s="2004" t="s">
        <v>600</v>
      </c>
      <c r="G9" s="2000" t="s">
        <v>489</v>
      </c>
      <c r="H9" s="2001"/>
      <c r="I9" s="2000" t="s">
        <v>598</v>
      </c>
      <c r="J9" s="2001"/>
      <c r="K9" s="2008" t="s">
        <v>492</v>
      </c>
      <c r="L9" s="2009"/>
      <c r="M9" s="2009"/>
      <c r="N9" s="2006" t="s">
        <v>496</v>
      </c>
    </row>
    <row r="10" spans="2:16" ht="29.25" thickBot="1" x14ac:dyDescent="0.25">
      <c r="B10" s="2022"/>
      <c r="C10" s="2024"/>
      <c r="D10" s="2007"/>
      <c r="F10" s="2005"/>
      <c r="G10" s="842" t="s">
        <v>490</v>
      </c>
      <c r="H10" s="843" t="s">
        <v>491</v>
      </c>
      <c r="I10" s="842" t="s">
        <v>487</v>
      </c>
      <c r="J10" s="843" t="s">
        <v>488</v>
      </c>
      <c r="K10" s="846" t="s">
        <v>493</v>
      </c>
      <c r="L10" s="847" t="s">
        <v>494</v>
      </c>
      <c r="M10" s="1120" t="s">
        <v>495</v>
      </c>
      <c r="N10" s="2007"/>
    </row>
    <row r="11" spans="2:16" s="885" customFormat="1" ht="12" thickBot="1" x14ac:dyDescent="0.25">
      <c r="B11" s="895"/>
      <c r="C11" s="896"/>
      <c r="D11" s="897"/>
      <c r="F11" s="898"/>
      <c r="G11" s="899"/>
      <c r="H11" s="897"/>
      <c r="I11" s="899"/>
      <c r="J11" s="897"/>
      <c r="K11" s="900"/>
      <c r="L11" s="901"/>
      <c r="M11" s="897"/>
      <c r="N11" s="897"/>
      <c r="P11" s="902"/>
    </row>
    <row r="12" spans="2:16" ht="24.75" customHeight="1" thickBot="1" x14ac:dyDescent="0.25">
      <c r="B12" s="363" t="s">
        <v>575</v>
      </c>
      <c r="C12" s="867">
        <f>план!C75</f>
        <v>263211.33880106924</v>
      </c>
      <c r="D12" s="868">
        <f>C12/1.2</f>
        <v>219342.78233422438</v>
      </c>
      <c r="E12" s="91"/>
      <c r="F12" s="729"/>
      <c r="G12" s="836"/>
      <c r="H12" s="158"/>
      <c r="I12" s="836"/>
      <c r="J12" s="158"/>
      <c r="K12" s="832"/>
      <c r="L12" s="818"/>
      <c r="M12" s="158"/>
      <c r="N12" s="158">
        <f>C12+I12+J12-K12-L12-M12</f>
        <v>263211.33880106924</v>
      </c>
      <c r="P12" s="88"/>
    </row>
    <row r="13" spans="2:16" ht="15.75" hidden="1" thickBot="1" x14ac:dyDescent="0.25">
      <c r="B13" s="883" t="s">
        <v>573</v>
      </c>
      <c r="C13" s="615">
        <f>Содержание!I28*1000</f>
        <v>0</v>
      </c>
      <c r="D13" s="552">
        <f>C13/1.2</f>
        <v>0</v>
      </c>
      <c r="E13" s="91"/>
      <c r="F13" s="729"/>
      <c r="G13" s="864"/>
      <c r="H13" s="158"/>
      <c r="I13" s="864"/>
      <c r="J13" s="158"/>
      <c r="K13" s="865"/>
      <c r="L13" s="818"/>
      <c r="M13" s="158"/>
      <c r="N13" s="158"/>
      <c r="P13" s="88"/>
    </row>
    <row r="14" spans="2:16" ht="15.75" hidden="1" thickBot="1" x14ac:dyDescent="0.25">
      <c r="B14" s="883" t="s">
        <v>574</v>
      </c>
      <c r="C14" s="615">
        <f>Содержание!I29*1000</f>
        <v>0</v>
      </c>
      <c r="D14" s="552">
        <f>C14/1.2</f>
        <v>0</v>
      </c>
      <c r="E14" s="91"/>
      <c r="F14" s="729"/>
      <c r="G14" s="864"/>
      <c r="H14" s="158"/>
      <c r="I14" s="864"/>
      <c r="J14" s="158"/>
      <c r="K14" s="865"/>
      <c r="L14" s="818"/>
      <c r="M14" s="158"/>
      <c r="N14" s="158"/>
      <c r="P14" s="88"/>
    </row>
    <row r="15" spans="2:16" ht="15.75" hidden="1" thickBot="1" x14ac:dyDescent="0.25">
      <c r="B15" s="884" t="s">
        <v>512</v>
      </c>
      <c r="C15" s="1045">
        <f>план!C78</f>
        <v>0</v>
      </c>
      <c r="D15" s="1046">
        <f>C15/1.2</f>
        <v>0</v>
      </c>
      <c r="E15" s="91"/>
      <c r="F15" s="729"/>
      <c r="G15" s="864"/>
      <c r="H15" s="158"/>
      <c r="I15" s="864"/>
      <c r="J15" s="158"/>
      <c r="K15" s="865"/>
      <c r="L15" s="818"/>
      <c r="M15" s="158"/>
      <c r="N15" s="158"/>
      <c r="P15" s="88"/>
    </row>
    <row r="16" spans="2:16" ht="24.75" hidden="1" customHeight="1" thickBot="1" x14ac:dyDescent="0.25">
      <c r="B16" s="364" t="s">
        <v>405</v>
      </c>
      <c r="C16" s="157">
        <f>план!C79</f>
        <v>0</v>
      </c>
      <c r="D16" s="158">
        <f>план!D79</f>
        <v>0</v>
      </c>
      <c r="E16" s="91"/>
      <c r="F16" s="795"/>
      <c r="G16" s="836"/>
      <c r="H16" s="158"/>
      <c r="I16" s="836"/>
      <c r="J16" s="158"/>
      <c r="K16" s="832"/>
      <c r="L16" s="818"/>
      <c r="M16" s="158"/>
      <c r="N16" s="158">
        <f>C16+I16+J16-K16-L16-M16</f>
        <v>0</v>
      </c>
      <c r="P16" s="88"/>
    </row>
    <row r="17" spans="1:20" s="885" customFormat="1" ht="12" thickBot="1" x14ac:dyDescent="0.25">
      <c r="B17" s="886"/>
      <c r="C17" s="887"/>
      <c r="D17" s="888"/>
      <c r="E17" s="889"/>
      <c r="F17" s="890"/>
      <c r="G17" s="891"/>
      <c r="H17" s="888"/>
      <c r="I17" s="891"/>
      <c r="J17" s="888"/>
      <c r="K17" s="892"/>
      <c r="L17" s="893"/>
      <c r="M17" s="888"/>
      <c r="N17" s="888"/>
      <c r="P17" s="894"/>
    </row>
    <row r="18" spans="1:20" ht="22.5" customHeight="1" x14ac:dyDescent="0.2">
      <c r="B18" s="363" t="s">
        <v>513</v>
      </c>
      <c r="C18" s="614">
        <f>C19+C24</f>
        <v>1381307.4099003095</v>
      </c>
      <c r="D18" s="619">
        <f>D19+D24</f>
        <v>1151089.5082502579</v>
      </c>
      <c r="E18" s="83"/>
      <c r="F18" s="796"/>
      <c r="G18" s="837">
        <f t="shared" ref="G18:N18" si="0">SUM(G25:G29)</f>
        <v>97095.53</v>
      </c>
      <c r="H18" s="619">
        <f t="shared" si="0"/>
        <v>0</v>
      </c>
      <c r="I18" s="837">
        <f t="shared" si="0"/>
        <v>0</v>
      </c>
      <c r="J18" s="619">
        <f t="shared" si="0"/>
        <v>0</v>
      </c>
      <c r="K18" s="833">
        <f t="shared" si="0"/>
        <v>97095.53</v>
      </c>
      <c r="L18" s="819">
        <f t="shared" si="0"/>
        <v>0</v>
      </c>
      <c r="M18" s="619">
        <f t="shared" si="0"/>
        <v>0</v>
      </c>
      <c r="N18" s="619">
        <f t="shared" si="0"/>
        <v>366539.70505754242</v>
      </c>
      <c r="P18" s="83"/>
    </row>
    <row r="19" spans="1:20" ht="22.5" customHeight="1" x14ac:dyDescent="0.2">
      <c r="B19" s="1238" t="s">
        <v>607</v>
      </c>
      <c r="C19" s="1239">
        <f>план!C7</f>
        <v>873091.19999999984</v>
      </c>
      <c r="D19" s="1240">
        <f>план!D7</f>
        <v>727575.99999999988</v>
      </c>
      <c r="E19" s="83"/>
      <c r="F19" s="1233"/>
      <c r="G19" s="1234"/>
      <c r="H19" s="1235"/>
      <c r="I19" s="1234"/>
      <c r="J19" s="1235"/>
      <c r="K19" s="1236"/>
      <c r="L19" s="1237"/>
      <c r="M19" s="1235"/>
      <c r="N19" s="1235"/>
      <c r="P19" s="83"/>
    </row>
    <row r="20" spans="1:20" s="51" customFormat="1" ht="32.25" customHeight="1" x14ac:dyDescent="0.2">
      <c r="A20" s="66"/>
      <c r="B20" s="797" t="s">
        <v>614</v>
      </c>
      <c r="C20" s="615">
        <f>план!C8</f>
        <v>419994.41</v>
      </c>
      <c r="D20" s="552">
        <f>план!D8</f>
        <v>349995.34166666667</v>
      </c>
      <c r="F20" s="727" t="s">
        <v>597</v>
      </c>
      <c r="G20" s="839"/>
      <c r="H20" s="552"/>
      <c r="I20" s="839">
        <v>208284.22</v>
      </c>
      <c r="J20" s="552"/>
      <c r="K20" s="835">
        <f>I20</f>
        <v>208284.22</v>
      </c>
      <c r="L20" s="821"/>
      <c r="M20" s="552"/>
      <c r="N20" s="552">
        <f t="shared" ref="N20:N21" si="1">C20+I20+J20-K20-L20-M20</f>
        <v>419994.41000000003</v>
      </c>
      <c r="O20" s="799"/>
      <c r="P20" s="824"/>
    </row>
    <row r="21" spans="1:20" s="1686" customFormat="1" ht="28.5" x14ac:dyDescent="0.2">
      <c r="A21" s="1684"/>
      <c r="B21" s="797" t="s">
        <v>830</v>
      </c>
      <c r="C21" s="615">
        <f>план!C9</f>
        <v>210426.21999999997</v>
      </c>
      <c r="D21" s="552">
        <f>план!D9</f>
        <v>175355.18333333332</v>
      </c>
      <c r="F21" s="1687" t="s">
        <v>596</v>
      </c>
      <c r="G21" s="1688"/>
      <c r="H21" s="1685"/>
      <c r="I21" s="1688">
        <v>117787.45</v>
      </c>
      <c r="J21" s="1685"/>
      <c r="K21" s="1689">
        <f>I21</f>
        <v>117787.45</v>
      </c>
      <c r="L21" s="1690"/>
      <c r="M21" s="1685"/>
      <c r="N21" s="1685">
        <f t="shared" si="1"/>
        <v>210426.21999999997</v>
      </c>
      <c r="O21" s="1691"/>
      <c r="P21" s="1692"/>
    </row>
    <row r="22" spans="1:20" s="1686" customFormat="1" ht="28.5" x14ac:dyDescent="0.2">
      <c r="A22" s="1684"/>
      <c r="B22" s="797" t="s">
        <v>821</v>
      </c>
      <c r="C22" s="1982">
        <f>план!C10</f>
        <v>96106.22</v>
      </c>
      <c r="D22" s="1983">
        <f>план!D10</f>
        <v>80088.516666666677</v>
      </c>
      <c r="F22" s="1687" t="s">
        <v>596</v>
      </c>
      <c r="G22" s="1688"/>
      <c r="H22" s="1685"/>
      <c r="I22" s="1688">
        <v>117787.45</v>
      </c>
      <c r="J22" s="1685"/>
      <c r="K22" s="1689">
        <f>I22</f>
        <v>117787.45</v>
      </c>
      <c r="L22" s="1690"/>
      <c r="M22" s="1685"/>
      <c r="N22" s="1685">
        <f t="shared" ref="N22:N23" si="2">C22+I22+J22-K22-L22-M22</f>
        <v>96106.219999999987</v>
      </c>
      <c r="O22" s="1691"/>
      <c r="P22" s="1692"/>
    </row>
    <row r="23" spans="1:20" s="1686" customFormat="1" ht="28.5" x14ac:dyDescent="0.2">
      <c r="A23" s="1684"/>
      <c r="B23" s="797" t="s">
        <v>831</v>
      </c>
      <c r="C23" s="615">
        <f>план!C13</f>
        <v>146564.35</v>
      </c>
      <c r="D23" s="552">
        <f>план!D13</f>
        <v>122136.95833333334</v>
      </c>
      <c r="F23" s="1687" t="s">
        <v>596</v>
      </c>
      <c r="G23" s="1688"/>
      <c r="H23" s="1685"/>
      <c r="I23" s="1688">
        <v>117787.45</v>
      </c>
      <c r="J23" s="1685"/>
      <c r="K23" s="1689">
        <f>I23</f>
        <v>117787.45</v>
      </c>
      <c r="L23" s="1690"/>
      <c r="M23" s="1685"/>
      <c r="N23" s="1685">
        <f t="shared" si="2"/>
        <v>146564.34999999998</v>
      </c>
      <c r="O23" s="1691"/>
      <c r="P23" s="1692"/>
    </row>
    <row r="24" spans="1:20" s="1948" customFormat="1" ht="22.5" customHeight="1" x14ac:dyDescent="0.2">
      <c r="B24" s="1949" t="s">
        <v>608</v>
      </c>
      <c r="C24" s="1950">
        <f>SUM(C25:C27)</f>
        <v>508216.20990030974</v>
      </c>
      <c r="D24" s="1951">
        <f>SUM(D25:D27)</f>
        <v>423513.50825025811</v>
      </c>
      <c r="E24" s="1952"/>
      <c r="F24" s="1953"/>
      <c r="G24" s="1954"/>
      <c r="H24" s="1955"/>
      <c r="I24" s="1954"/>
      <c r="J24" s="1955"/>
      <c r="K24" s="1956"/>
      <c r="L24" s="1957"/>
      <c r="M24" s="1955"/>
      <c r="N24" s="1955"/>
      <c r="P24" s="1952"/>
    </row>
    <row r="25" spans="1:20" s="1948" customFormat="1" ht="28.5" x14ac:dyDescent="0.2">
      <c r="A25" s="1958"/>
      <c r="B25" s="1959" t="s">
        <v>838</v>
      </c>
      <c r="C25" s="1960">
        <f>план!C17</f>
        <v>94000</v>
      </c>
      <c r="D25" s="1961">
        <f>план!D17</f>
        <v>78333.333333333343</v>
      </c>
      <c r="F25" s="1962" t="s">
        <v>595</v>
      </c>
      <c r="G25" s="1963">
        <v>97095.53</v>
      </c>
      <c r="H25" s="1964"/>
      <c r="I25" s="1963"/>
      <c r="J25" s="1964"/>
      <c r="K25" s="1965">
        <v>97095.53</v>
      </c>
      <c r="L25" s="1966"/>
      <c r="M25" s="1964"/>
      <c r="N25" s="1967">
        <f>C25+I25+J25-K25-L25-M25</f>
        <v>-3095.5299999999988</v>
      </c>
      <c r="P25" s="1968" t="s">
        <v>501</v>
      </c>
      <c r="Q25" s="1969" t="s">
        <v>497</v>
      </c>
      <c r="R25" s="1969" t="s">
        <v>498</v>
      </c>
      <c r="S25" s="1969" t="s">
        <v>499</v>
      </c>
      <c r="T25" s="1970" t="s">
        <v>500</v>
      </c>
    </row>
    <row r="26" spans="1:20" s="1948" customFormat="1" ht="28.5" x14ac:dyDescent="0.2">
      <c r="A26" s="1958"/>
      <c r="B26" s="1971" t="s">
        <v>816</v>
      </c>
      <c r="C26" s="1972">
        <f>план!C18</f>
        <v>369635.23505754245</v>
      </c>
      <c r="D26" s="1967">
        <f>план!D18</f>
        <v>308029.36254795204</v>
      </c>
      <c r="F26" s="1973" t="s">
        <v>595</v>
      </c>
      <c r="G26" s="1974"/>
      <c r="H26" s="1967"/>
      <c r="I26" s="1974"/>
      <c r="J26" s="1967"/>
      <c r="K26" s="1975"/>
      <c r="L26" s="1976"/>
      <c r="M26" s="1967"/>
      <c r="N26" s="1967">
        <f t="shared" ref="N26" si="3">C26+I26+J26-K26-L26-M26</f>
        <v>369635.23505754245</v>
      </c>
      <c r="O26" s="1977"/>
      <c r="P26" s="1952"/>
    </row>
    <row r="27" spans="1:20" s="1948" customFormat="1" ht="29.25" thickBot="1" x14ac:dyDescent="0.25">
      <c r="A27" s="1958"/>
      <c r="B27" s="1971" t="s">
        <v>839</v>
      </c>
      <c r="C27" s="1972">
        <f>план!C19</f>
        <v>44580.974842767289</v>
      </c>
      <c r="D27" s="1967">
        <f>план!D19</f>
        <v>37150.812368972744</v>
      </c>
      <c r="F27" s="1973"/>
      <c r="G27" s="1974"/>
      <c r="H27" s="1967"/>
      <c r="I27" s="1974"/>
      <c r="J27" s="1967"/>
      <c r="K27" s="1975"/>
      <c r="L27" s="1976"/>
      <c r="M27" s="1967"/>
      <c r="N27" s="1967"/>
      <c r="O27" s="1977"/>
      <c r="P27" s="1952"/>
    </row>
    <row r="28" spans="1:20" ht="22.5" hidden="1" customHeight="1" x14ac:dyDescent="0.2">
      <c r="B28" s="363" t="s">
        <v>514</v>
      </c>
      <c r="C28" s="867">
        <f>SUM(C29:C29)</f>
        <v>0</v>
      </c>
      <c r="D28" s="868">
        <f>SUM(D29:D29)</f>
        <v>0</v>
      </c>
      <c r="E28" s="83"/>
      <c r="F28" s="796"/>
      <c r="G28" s="837">
        <f t="shared" ref="G28:L28" si="4">SUM(G29:G30)</f>
        <v>0</v>
      </c>
      <c r="H28" s="868">
        <f t="shared" si="4"/>
        <v>0</v>
      </c>
      <c r="I28" s="837">
        <f t="shared" si="4"/>
        <v>0</v>
      </c>
      <c r="J28" s="868">
        <f t="shared" si="4"/>
        <v>0</v>
      </c>
      <c r="K28" s="833">
        <f t="shared" si="4"/>
        <v>0</v>
      </c>
      <c r="L28" s="819">
        <f t="shared" si="4"/>
        <v>0</v>
      </c>
      <c r="M28" s="868">
        <f>SUM(M29:M39)</f>
        <v>0</v>
      </c>
      <c r="N28" s="868">
        <f>SUM(N29:N30)</f>
        <v>0</v>
      </c>
      <c r="P28" s="83"/>
    </row>
    <row r="29" spans="1:20" s="31" customFormat="1" ht="15" hidden="1" thickBot="1" x14ac:dyDescent="0.25">
      <c r="A29" s="47"/>
      <c r="B29" s="866" t="s">
        <v>601</v>
      </c>
      <c r="C29" s="1113">
        <f>план!C22</f>
        <v>0</v>
      </c>
      <c r="D29" s="1114">
        <f>план!D22</f>
        <v>0</v>
      </c>
      <c r="F29" s="727" t="s">
        <v>595</v>
      </c>
      <c r="G29" s="839"/>
      <c r="H29" s="552"/>
      <c r="I29" s="839"/>
      <c r="J29" s="552"/>
      <c r="K29" s="835"/>
      <c r="L29" s="821"/>
      <c r="M29" s="552"/>
      <c r="N29" s="552">
        <f>C29-K29</f>
        <v>0</v>
      </c>
      <c r="P29" s="107"/>
    </row>
    <row r="30" spans="1:20" s="907" customFormat="1" ht="12" hidden="1" thickBot="1" x14ac:dyDescent="0.25">
      <c r="A30" s="903"/>
      <c r="B30" s="904"/>
      <c r="C30" s="905"/>
      <c r="D30" s="906"/>
      <c r="F30" s="908"/>
      <c r="G30" s="909"/>
      <c r="H30" s="910"/>
      <c r="I30" s="909"/>
      <c r="J30" s="910"/>
      <c r="K30" s="911"/>
      <c r="L30" s="912"/>
      <c r="M30" s="910"/>
      <c r="N30" s="910"/>
      <c r="P30" s="913"/>
    </row>
    <row r="31" spans="1:20" ht="22.5" hidden="1" customHeight="1" x14ac:dyDescent="0.2">
      <c r="B31" s="618" t="s">
        <v>322</v>
      </c>
      <c r="C31" s="614">
        <f>SUM(C32:C32)</f>
        <v>10040.634</v>
      </c>
      <c r="D31" s="619">
        <f>SUM(D32:D32)</f>
        <v>8367.1949999999997</v>
      </c>
      <c r="E31" s="83"/>
      <c r="F31" s="796"/>
      <c r="G31" s="837">
        <f t="shared" ref="G31:N31" si="5">SUM(G32:G32)</f>
        <v>0</v>
      </c>
      <c r="H31" s="619">
        <f t="shared" si="5"/>
        <v>0</v>
      </c>
      <c r="I31" s="837">
        <f t="shared" si="5"/>
        <v>0</v>
      </c>
      <c r="J31" s="619">
        <f t="shared" si="5"/>
        <v>0</v>
      </c>
      <c r="K31" s="833">
        <f t="shared" si="5"/>
        <v>0</v>
      </c>
      <c r="L31" s="819">
        <f t="shared" si="5"/>
        <v>0</v>
      </c>
      <c r="M31" s="619">
        <f t="shared" si="5"/>
        <v>0</v>
      </c>
      <c r="N31" s="619">
        <f t="shared" si="5"/>
        <v>10040.634</v>
      </c>
      <c r="P31" s="83"/>
    </row>
    <row r="32" spans="1:20" s="31" customFormat="1" ht="33" hidden="1" customHeight="1" x14ac:dyDescent="0.2">
      <c r="A32" s="47"/>
      <c r="B32" s="620" t="s">
        <v>270</v>
      </c>
      <c r="C32" s="615">
        <f>план!C25</f>
        <v>10040.634</v>
      </c>
      <c r="D32" s="552">
        <f t="shared" ref="D32" si="6">C32/1.2</f>
        <v>8367.1949999999997</v>
      </c>
      <c r="E32" s="109"/>
      <c r="F32" s="727" t="s">
        <v>595</v>
      </c>
      <c r="G32" s="839"/>
      <c r="H32" s="552"/>
      <c r="I32" s="839"/>
      <c r="J32" s="552"/>
      <c r="K32" s="835"/>
      <c r="L32" s="821"/>
      <c r="M32" s="552"/>
      <c r="N32" s="552">
        <f>C32+I32+J32-K32-L32-M32</f>
        <v>10040.634</v>
      </c>
      <c r="O32" s="799"/>
      <c r="P32" s="110"/>
    </row>
    <row r="33" spans="1:20" s="31" customFormat="1" ht="15" hidden="1" thickBot="1" x14ac:dyDescent="0.25">
      <c r="A33" s="47"/>
      <c r="B33" s="869" t="s">
        <v>515</v>
      </c>
      <c r="C33" s="880">
        <f>65460.14*0</f>
        <v>0</v>
      </c>
      <c r="D33" s="881">
        <f>C33/1.2</f>
        <v>0</v>
      </c>
      <c r="E33" s="109"/>
      <c r="F33" s="728"/>
      <c r="G33" s="838"/>
      <c r="H33" s="691"/>
      <c r="I33" s="838"/>
      <c r="J33" s="691"/>
      <c r="K33" s="834"/>
      <c r="L33" s="820"/>
      <c r="M33" s="691"/>
      <c r="N33" s="691"/>
      <c r="P33" s="110" t="s">
        <v>299</v>
      </c>
      <c r="Q33" s="51" t="s">
        <v>300</v>
      </c>
      <c r="R33" s="155" t="s">
        <v>256</v>
      </c>
    </row>
    <row r="34" spans="1:20" s="31" customFormat="1" ht="22.5" customHeight="1" x14ac:dyDescent="0.2">
      <c r="B34" s="618" t="s">
        <v>407</v>
      </c>
      <c r="C34" s="614">
        <f>SUM(C36:C37)</f>
        <v>1503406.8075294646</v>
      </c>
      <c r="D34" s="619">
        <f>SUM(D36:D37)</f>
        <v>1252839.0062745539</v>
      </c>
      <c r="E34" s="107"/>
      <c r="F34" s="730"/>
      <c r="G34" s="837">
        <f t="shared" ref="G34:N34" si="7">SUM(G36:G39)</f>
        <v>1128146.26</v>
      </c>
      <c r="H34" s="619">
        <f t="shared" si="7"/>
        <v>2457060.5299999993</v>
      </c>
      <c r="I34" s="837">
        <f t="shared" si="7"/>
        <v>0</v>
      </c>
      <c r="J34" s="619">
        <f t="shared" si="7"/>
        <v>0</v>
      </c>
      <c r="K34" s="833">
        <f t="shared" si="7"/>
        <v>1128146.26</v>
      </c>
      <c r="L34" s="819">
        <f t="shared" si="7"/>
        <v>1788594.5653294136</v>
      </c>
      <c r="M34" s="619">
        <f t="shared" si="7"/>
        <v>0</v>
      </c>
      <c r="N34" s="619">
        <f t="shared" si="7"/>
        <v>-1413334.0177999493</v>
      </c>
      <c r="O34" s="828" t="s">
        <v>484</v>
      </c>
      <c r="P34" s="826">
        <v>962486.63847906014</v>
      </c>
      <c r="Q34" s="826">
        <f>2975903.02468643*0.915039</f>
        <v>2723067.3278060462</v>
      </c>
      <c r="R34" s="827">
        <f>P34+Q34</f>
        <v>3685553.9662851063</v>
      </c>
    </row>
    <row r="35" spans="1:20" ht="22.5" customHeight="1" x14ac:dyDescent="0.2">
      <c r="B35" s="1238" t="s">
        <v>842</v>
      </c>
      <c r="C35" s="1239">
        <f>C36+C37</f>
        <v>1503406.8075294646</v>
      </c>
      <c r="D35" s="1240">
        <f>D36+D37</f>
        <v>1252839.0062745539</v>
      </c>
      <c r="E35" s="83"/>
      <c r="F35" s="1233"/>
      <c r="G35" s="1234"/>
      <c r="H35" s="1235"/>
      <c r="I35" s="1234"/>
      <c r="J35" s="1235"/>
      <c r="K35" s="1236"/>
      <c r="L35" s="1237"/>
      <c r="M35" s="1235"/>
      <c r="N35" s="1235"/>
      <c r="P35" s="83"/>
    </row>
    <row r="36" spans="1:20" s="31" customFormat="1" ht="28.5" x14ac:dyDescent="0.2">
      <c r="A36" s="47"/>
      <c r="B36" s="1121" t="s">
        <v>508</v>
      </c>
      <c r="C36" s="615">
        <f>план!C29</f>
        <v>101091.7179143359</v>
      </c>
      <c r="D36" s="552">
        <f t="shared" ref="D36" si="8">C36/1.2</f>
        <v>84243.098261946579</v>
      </c>
      <c r="E36" s="109"/>
      <c r="F36" s="727" t="s">
        <v>595</v>
      </c>
      <c r="G36" s="839">
        <v>401596.09</v>
      </c>
      <c r="H36" s="552">
        <v>1424208.2899999993</v>
      </c>
      <c r="I36" s="1116"/>
      <c r="J36" s="1117"/>
      <c r="K36" s="835">
        <f>G36</f>
        <v>401596.09</v>
      </c>
      <c r="L36" s="821">
        <f>H36</f>
        <v>1424208.2899999993</v>
      </c>
      <c r="M36" s="1117"/>
      <c r="N36" s="552">
        <f t="shared" ref="N36:N37" si="9">C36+I36+J36-K36-L36-M36</f>
        <v>-1724712.6620856635</v>
      </c>
      <c r="O36" s="829" t="s">
        <v>485</v>
      </c>
      <c r="P36" s="110">
        <f>64597.91</f>
        <v>64597.91</v>
      </c>
      <c r="Q36" s="108">
        <f>1233985.87*0.915039</f>
        <v>1129145.1964989302</v>
      </c>
      <c r="R36" s="156">
        <f>P36+Q36</f>
        <v>1193743.1064989301</v>
      </c>
      <c r="S36" s="825"/>
    </row>
    <row r="37" spans="1:20" s="31" customFormat="1" ht="28.5" x14ac:dyDescent="0.2">
      <c r="A37" s="47"/>
      <c r="B37" s="858" t="s">
        <v>602</v>
      </c>
      <c r="C37" s="856">
        <f>план!C31</f>
        <v>1402315.0896151287</v>
      </c>
      <c r="D37" s="857">
        <f>C37/1.2</f>
        <v>1168595.9080126074</v>
      </c>
      <c r="E37" s="109"/>
      <c r="F37" s="728" t="s">
        <v>595</v>
      </c>
      <c r="G37" s="838">
        <v>726550.17</v>
      </c>
      <c r="H37" s="1115">
        <v>1032852.24</v>
      </c>
      <c r="I37" s="1118"/>
      <c r="J37" s="1119"/>
      <c r="K37" s="834">
        <f>G37</f>
        <v>726550.17</v>
      </c>
      <c r="L37" s="820">
        <f>C37-K37/0.7</f>
        <v>364386.27532941429</v>
      </c>
      <c r="M37" s="1119"/>
      <c r="N37" s="552">
        <f t="shared" si="9"/>
        <v>311378.64428571437</v>
      </c>
      <c r="O37" s="829"/>
      <c r="P37" s="110"/>
      <c r="Q37" s="108"/>
      <c r="R37" s="156"/>
      <c r="S37" s="825"/>
    </row>
    <row r="38" spans="1:20" s="1948" customFormat="1" ht="28.5" x14ac:dyDescent="0.2">
      <c r="A38" s="1958"/>
      <c r="B38" s="1978" t="s">
        <v>843</v>
      </c>
      <c r="C38" s="1972">
        <f>план!C30</f>
        <v>48360.12233070103</v>
      </c>
      <c r="D38" s="1967">
        <f>план!D30</f>
        <v>40300.101942250862</v>
      </c>
      <c r="F38" s="1962"/>
      <c r="G38" s="1963"/>
      <c r="H38" s="1964"/>
      <c r="I38" s="1963"/>
      <c r="J38" s="1964"/>
      <c r="K38" s="1965"/>
      <c r="L38" s="1966"/>
      <c r="M38" s="1964"/>
      <c r="N38" s="1967"/>
      <c r="P38" s="1968"/>
      <c r="Q38" s="1969"/>
      <c r="R38" s="1969"/>
      <c r="S38" s="1969"/>
      <c r="T38" s="1970"/>
    </row>
    <row r="39" spans="1:20" s="31" customFormat="1" ht="15" thickBot="1" x14ac:dyDescent="0.25">
      <c r="A39" s="47"/>
      <c r="B39" s="772"/>
      <c r="C39" s="616"/>
      <c r="D39" s="691"/>
      <c r="E39" s="109"/>
      <c r="F39" s="728"/>
      <c r="G39" s="838"/>
      <c r="H39" s="691"/>
      <c r="I39" s="838"/>
      <c r="J39" s="691"/>
      <c r="K39" s="834"/>
      <c r="L39" s="820"/>
      <c r="M39" s="691"/>
      <c r="N39" s="691"/>
      <c r="O39" s="829" t="s">
        <v>486</v>
      </c>
      <c r="P39" s="110">
        <f>(P34-P36)*0.7</f>
        <v>628522.10993534198</v>
      </c>
      <c r="Q39" s="110">
        <f>(Q34-Q36)*0.7</f>
        <v>1115745.491914981</v>
      </c>
      <c r="R39" s="156">
        <f>P39+Q39</f>
        <v>1744267.6018503229</v>
      </c>
    </row>
    <row r="40" spans="1:20" ht="22.5" hidden="1" customHeight="1" thickBot="1" x14ac:dyDescent="0.25">
      <c r="B40" s="363" t="s">
        <v>323</v>
      </c>
      <c r="C40" s="614">
        <f>SUM(C41:C47)</f>
        <v>0</v>
      </c>
      <c r="D40" s="619">
        <f>SUM(D41:D47)</f>
        <v>0</v>
      </c>
      <c r="E40" s="83"/>
      <c r="F40" s="730"/>
      <c r="G40" s="837">
        <f t="shared" ref="G40:N40" si="10">SUM(G41:G47)</f>
        <v>379604.23</v>
      </c>
      <c r="H40" s="619">
        <f t="shared" si="10"/>
        <v>0</v>
      </c>
      <c r="I40" s="837">
        <f t="shared" si="10"/>
        <v>0</v>
      </c>
      <c r="J40" s="619">
        <f t="shared" si="10"/>
        <v>0</v>
      </c>
      <c r="K40" s="833">
        <f t="shared" si="10"/>
        <v>370165.09</v>
      </c>
      <c r="L40" s="819">
        <f t="shared" si="10"/>
        <v>0</v>
      </c>
      <c r="M40" s="619">
        <f t="shared" si="10"/>
        <v>0</v>
      </c>
      <c r="N40" s="619">
        <f t="shared" si="10"/>
        <v>-370165.09</v>
      </c>
      <c r="P40" s="83"/>
      <c r="Q40" s="83"/>
      <c r="R40" s="83"/>
    </row>
    <row r="41" spans="1:20" s="31" customFormat="1" ht="57.75" hidden="1" thickBot="1" x14ac:dyDescent="0.25">
      <c r="A41" s="47"/>
      <c r="B41" s="798" t="s">
        <v>817</v>
      </c>
      <c r="C41" s="1042">
        <f>план!C82</f>
        <v>0</v>
      </c>
      <c r="D41" s="552">
        <f t="shared" ref="D41:D42" si="11">C41/1.2</f>
        <v>0</v>
      </c>
      <c r="F41" s="727"/>
      <c r="G41" s="839"/>
      <c r="H41" s="552"/>
      <c r="I41" s="839"/>
      <c r="J41" s="552"/>
      <c r="K41" s="835"/>
      <c r="L41" s="821"/>
      <c r="M41" s="552"/>
      <c r="N41" s="552">
        <f t="shared" ref="N41:N46" si="12">C41+I41+J41-K41-L41-M41</f>
        <v>0</v>
      </c>
      <c r="P41" s="107"/>
      <c r="Q41" s="107"/>
      <c r="R41" s="107"/>
    </row>
    <row r="42" spans="1:20" s="31" customFormat="1" ht="33" hidden="1" customHeight="1" x14ac:dyDescent="0.2">
      <c r="A42" s="47"/>
      <c r="B42" s="798"/>
      <c r="C42" s="617">
        <f>план!C83</f>
        <v>0</v>
      </c>
      <c r="D42" s="552">
        <f t="shared" si="11"/>
        <v>0</v>
      </c>
      <c r="F42" s="727" t="s">
        <v>599</v>
      </c>
      <c r="G42" s="839">
        <f>202948.38-71591.46-57995.53+546000-95830.06-208115.42</f>
        <v>315415.91000000003</v>
      </c>
      <c r="H42" s="552"/>
      <c r="I42" s="839"/>
      <c r="J42" s="552"/>
      <c r="K42" s="835">
        <f>G42</f>
        <v>315415.91000000003</v>
      </c>
      <c r="L42" s="821"/>
      <c r="M42" s="552"/>
      <c r="N42" s="552">
        <f t="shared" si="12"/>
        <v>-315415.91000000003</v>
      </c>
      <c r="P42" s="94" t="s">
        <v>502</v>
      </c>
      <c r="Q42" s="848" t="s">
        <v>503</v>
      </c>
      <c r="R42" s="824" t="s">
        <v>504</v>
      </c>
    </row>
    <row r="43" spans="1:20" s="31" customFormat="1" ht="28.5" hidden="1" customHeight="1" x14ac:dyDescent="0.2">
      <c r="A43" s="47"/>
      <c r="B43" s="797"/>
      <c r="C43" s="615">
        <f>план!C84</f>
        <v>0</v>
      </c>
      <c r="D43" s="552">
        <f>план!D84</f>
        <v>0</v>
      </c>
      <c r="F43" s="727"/>
      <c r="G43" s="839"/>
      <c r="H43" s="552"/>
      <c r="I43" s="839"/>
      <c r="J43" s="552"/>
      <c r="K43" s="835"/>
      <c r="L43" s="821"/>
      <c r="M43" s="552"/>
      <c r="N43" s="552">
        <f t="shared" si="12"/>
        <v>0</v>
      </c>
      <c r="P43" s="107"/>
      <c r="Q43" s="107"/>
      <c r="R43" s="107"/>
    </row>
    <row r="44" spans="1:20" s="31" customFormat="1" ht="14.25" hidden="1" x14ac:dyDescent="0.2">
      <c r="A44" s="47"/>
      <c r="B44" s="161"/>
      <c r="C44" s="615">
        <f>план!C85</f>
        <v>0</v>
      </c>
      <c r="D44" s="159">
        <f>план!D85</f>
        <v>0</v>
      </c>
      <c r="F44" s="725"/>
      <c r="G44" s="840">
        <v>54749.18</v>
      </c>
      <c r="H44" s="159"/>
      <c r="I44" s="840"/>
      <c r="J44" s="159"/>
      <c r="K44" s="830">
        <v>54749.18</v>
      </c>
      <c r="L44" s="822"/>
      <c r="M44" s="159"/>
      <c r="N44" s="552">
        <f t="shared" si="12"/>
        <v>-54749.18</v>
      </c>
      <c r="O44" s="826"/>
      <c r="P44" s="826"/>
      <c r="Q44" s="826"/>
      <c r="R44" s="826"/>
      <c r="S44" s="826"/>
    </row>
    <row r="45" spans="1:20" s="31" customFormat="1" ht="14.25" hidden="1" x14ac:dyDescent="0.2">
      <c r="A45" s="47"/>
      <c r="B45" s="1041"/>
      <c r="C45" s="1161">
        <f>план!C86</f>
        <v>0</v>
      </c>
      <c r="D45" s="1162">
        <f>план!D86</f>
        <v>0</v>
      </c>
      <c r="F45" s="870" t="s">
        <v>595</v>
      </c>
      <c r="G45" s="871">
        <v>6831.04</v>
      </c>
      <c r="H45" s="872"/>
      <c r="I45" s="871"/>
      <c r="J45" s="872"/>
      <c r="K45" s="873"/>
      <c r="L45" s="874"/>
      <c r="M45" s="872"/>
      <c r="N45" s="552">
        <f t="shared" si="12"/>
        <v>0</v>
      </c>
      <c r="O45" s="826"/>
      <c r="P45" s="826"/>
      <c r="Q45" s="826"/>
      <c r="R45" s="826"/>
      <c r="S45" s="826"/>
    </row>
    <row r="46" spans="1:20" s="31" customFormat="1" ht="14.25" hidden="1" x14ac:dyDescent="0.2">
      <c r="A46" s="47"/>
      <c r="B46" s="1041"/>
      <c r="C46" s="1161">
        <f>план!C87</f>
        <v>0</v>
      </c>
      <c r="D46" s="1162">
        <f>план!D87</f>
        <v>0</v>
      </c>
      <c r="F46" s="870" t="s">
        <v>595</v>
      </c>
      <c r="G46" s="871">
        <v>2608.1</v>
      </c>
      <c r="H46" s="872"/>
      <c r="I46" s="871"/>
      <c r="J46" s="872"/>
      <c r="K46" s="873"/>
      <c r="L46" s="874"/>
      <c r="M46" s="872"/>
      <c r="N46" s="552">
        <f t="shared" si="12"/>
        <v>0</v>
      </c>
      <c r="O46" s="826"/>
      <c r="P46" s="826"/>
      <c r="Q46" s="826"/>
      <c r="R46" s="826"/>
      <c r="S46" s="826"/>
    </row>
    <row r="47" spans="1:20" s="31" customFormat="1" ht="22.5" hidden="1" customHeight="1" thickBot="1" x14ac:dyDescent="0.25">
      <c r="A47" s="47"/>
      <c r="B47" s="844"/>
      <c r="C47" s="617"/>
      <c r="D47" s="845"/>
      <c r="F47" s="726"/>
      <c r="G47" s="841"/>
      <c r="H47" s="160"/>
      <c r="I47" s="841"/>
      <c r="J47" s="160"/>
      <c r="K47" s="831"/>
      <c r="L47" s="823"/>
      <c r="M47" s="160"/>
      <c r="N47" s="160"/>
      <c r="O47" s="107"/>
      <c r="P47" s="107"/>
      <c r="Q47" s="107"/>
      <c r="R47" s="107"/>
      <c r="S47" s="107"/>
    </row>
    <row r="48" spans="1:20" s="155" customFormat="1" ht="15" x14ac:dyDescent="0.2">
      <c r="A48" s="154"/>
      <c r="B48" s="2026" t="s">
        <v>203</v>
      </c>
      <c r="C48" s="2028">
        <f>C40+C31+C19+C12+C16+C35+C28</f>
        <v>2649749.9803305333</v>
      </c>
      <c r="D48" s="2030">
        <f>D40+D31+D19+D12+D16+D35+D28</f>
        <v>2208124.9836087781</v>
      </c>
      <c r="F48" s="1997"/>
      <c r="G48" s="837">
        <f t="shared" ref="G48:L48" si="13">G40+G31+G18+G12+G16+G34+G28</f>
        <v>1604846.02</v>
      </c>
      <c r="H48" s="619">
        <f t="shared" si="13"/>
        <v>2457060.5299999993</v>
      </c>
      <c r="I48" s="837">
        <f t="shared" si="13"/>
        <v>0</v>
      </c>
      <c r="J48" s="619">
        <f t="shared" si="13"/>
        <v>0</v>
      </c>
      <c r="K48" s="837">
        <f t="shared" si="13"/>
        <v>1595406.88</v>
      </c>
      <c r="L48" s="819">
        <f t="shared" si="13"/>
        <v>1788594.5653294136</v>
      </c>
      <c r="M48" s="619">
        <f>M40+M31+M18+M12+M16+M34</f>
        <v>0</v>
      </c>
      <c r="N48" s="1994">
        <f>N40+N31+N18+N12+N16+N34+N28</f>
        <v>-1143707.4299413376</v>
      </c>
      <c r="P48" s="156"/>
    </row>
    <row r="49" spans="1:19" s="31" customFormat="1" ht="15.75" thickBot="1" x14ac:dyDescent="0.25">
      <c r="A49" s="47"/>
      <c r="B49" s="2027"/>
      <c r="C49" s="2029"/>
      <c r="D49" s="2031"/>
      <c r="F49" s="1998"/>
      <c r="G49" s="2002">
        <f>G48+H48</f>
        <v>4061906.5499999993</v>
      </c>
      <c r="H49" s="2003"/>
      <c r="I49" s="2002">
        <f>I48+J48</f>
        <v>0</v>
      </c>
      <c r="J49" s="2003"/>
      <c r="K49" s="2013">
        <f>SUM(K48:M48)</f>
        <v>3384001.4453294137</v>
      </c>
      <c r="L49" s="2014"/>
      <c r="M49" s="2015"/>
      <c r="N49" s="1995"/>
      <c r="P49" s="108"/>
    </row>
    <row r="50" spans="1:19" s="31" customFormat="1" ht="15.75" thickBot="1" x14ac:dyDescent="0.25">
      <c r="A50" s="47"/>
      <c r="B50" s="38"/>
      <c r="C50" s="77"/>
      <c r="D50" s="77"/>
      <c r="F50" s="1999"/>
      <c r="G50" s="2010">
        <f>G49+I49</f>
        <v>4061906.5499999993</v>
      </c>
      <c r="H50" s="2011"/>
      <c r="I50" s="2011"/>
      <c r="J50" s="2012"/>
      <c r="K50" s="2002"/>
      <c r="L50" s="2016"/>
      <c r="M50" s="2003"/>
      <c r="N50" s="1996"/>
      <c r="P50" s="107"/>
    </row>
    <row r="51" spans="1:19" s="31" customFormat="1" ht="27.75" customHeight="1" x14ac:dyDescent="0.2">
      <c r="A51" s="47"/>
      <c r="B51" s="38" t="s">
        <v>258</v>
      </c>
      <c r="C51" s="77"/>
      <c r="D51" s="77" t="s">
        <v>259</v>
      </c>
      <c r="E51" s="51"/>
      <c r="F51" s="77"/>
      <c r="G51" s="77"/>
      <c r="H51" s="77"/>
      <c r="I51" s="77"/>
      <c r="J51" s="77"/>
      <c r="K51" s="77"/>
      <c r="L51" s="77"/>
      <c r="M51" s="77"/>
      <c r="N51" s="77"/>
      <c r="O51" s="47"/>
      <c r="P51" s="108"/>
    </row>
    <row r="52" spans="1:19" ht="25.5" customHeight="1" x14ac:dyDescent="0.2">
      <c r="A52" s="47"/>
      <c r="B52" s="38"/>
      <c r="C52" s="77"/>
      <c r="D52" s="77"/>
      <c r="F52" s="77"/>
      <c r="G52" s="77"/>
      <c r="H52" s="77"/>
      <c r="I52" s="77"/>
      <c r="J52" s="77"/>
      <c r="K52" s="77"/>
      <c r="L52" s="77"/>
      <c r="M52" s="77"/>
      <c r="N52" s="77"/>
      <c r="P52" s="83"/>
    </row>
    <row r="53" spans="1:19" ht="24" customHeight="1" x14ac:dyDescent="0.2">
      <c r="A53" s="31"/>
      <c r="B53" s="40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P53" s="83"/>
    </row>
    <row r="54" spans="1:19" ht="47.25" hidden="1" customHeight="1" x14ac:dyDescent="0.2">
      <c r="A54" s="31"/>
      <c r="B54" s="38"/>
      <c r="C54" s="77"/>
      <c r="D54" s="77"/>
      <c r="F54" s="77"/>
      <c r="G54" s="77"/>
      <c r="H54" s="77"/>
      <c r="I54" s="77"/>
      <c r="J54" s="77"/>
      <c r="K54" s="77"/>
      <c r="L54" s="77"/>
      <c r="M54" s="77"/>
      <c r="N54" s="77"/>
      <c r="P54" s="83"/>
    </row>
    <row r="55" spans="1:19" ht="30" hidden="1" customHeight="1" x14ac:dyDescent="0.2">
      <c r="A55" s="31"/>
      <c r="B55" s="38"/>
      <c r="C55" s="77"/>
      <c r="D55" s="77"/>
      <c r="F55" s="77"/>
      <c r="G55" s="77"/>
      <c r="H55" s="77"/>
      <c r="I55" s="77"/>
      <c r="J55" s="77"/>
      <c r="K55" s="77"/>
      <c r="L55" s="77"/>
      <c r="M55" s="77"/>
      <c r="N55" s="77"/>
      <c r="P55" s="83"/>
    </row>
    <row r="56" spans="1:19" ht="18.75" hidden="1" customHeight="1" x14ac:dyDescent="0.2">
      <c r="A56" s="31"/>
      <c r="B56" s="38"/>
      <c r="C56" s="77"/>
      <c r="D56" s="77"/>
      <c r="E56" s="83"/>
      <c r="F56" s="77"/>
      <c r="G56" s="77"/>
      <c r="H56" s="77"/>
      <c r="I56" s="77"/>
      <c r="J56" s="77"/>
      <c r="K56" s="77"/>
      <c r="L56" s="77"/>
      <c r="M56" s="77"/>
      <c r="N56" s="77"/>
      <c r="P56" s="83"/>
    </row>
    <row r="57" spans="1:19" ht="30" customHeight="1" x14ac:dyDescent="0.2">
      <c r="A57" s="51"/>
      <c r="B57" s="38"/>
      <c r="C57" s="77"/>
      <c r="D57" s="77"/>
      <c r="E57" s="92"/>
      <c r="F57" s="77"/>
      <c r="G57" s="77"/>
      <c r="H57" s="77"/>
      <c r="I57" s="77"/>
      <c r="J57" s="77"/>
      <c r="K57" s="77"/>
      <c r="L57" s="77"/>
      <c r="M57" s="77"/>
      <c r="N57" s="77"/>
      <c r="P57" s="88"/>
    </row>
    <row r="58" spans="1:19" ht="34.5" hidden="1" customHeight="1" x14ac:dyDescent="0.2">
      <c r="A58" s="31"/>
      <c r="B58" s="38"/>
      <c r="C58" s="77"/>
      <c r="D58" s="77"/>
      <c r="E58" s="84"/>
      <c r="F58" s="77"/>
      <c r="G58" s="77"/>
      <c r="H58" s="77"/>
      <c r="I58" s="77"/>
      <c r="J58" s="77"/>
      <c r="K58" s="77"/>
      <c r="L58" s="77"/>
      <c r="M58" s="77"/>
      <c r="N58" s="77"/>
      <c r="P58" s="83"/>
    </row>
    <row r="59" spans="1:19" ht="33.75" hidden="1" customHeight="1" x14ac:dyDescent="0.2">
      <c r="A59" s="31"/>
      <c r="B59" s="38"/>
      <c r="C59" s="77"/>
      <c r="D59" s="77"/>
      <c r="E59" s="83"/>
      <c r="F59" s="77"/>
      <c r="G59" s="77"/>
      <c r="H59" s="77"/>
      <c r="I59" s="77"/>
      <c r="J59" s="77"/>
      <c r="K59" s="77"/>
      <c r="L59" s="77"/>
      <c r="M59" s="77"/>
      <c r="N59" s="77"/>
      <c r="P59" s="83"/>
    </row>
    <row r="60" spans="1:19" ht="41.25" customHeight="1" x14ac:dyDescent="0.2">
      <c r="A60" s="31"/>
      <c r="B60" s="38"/>
      <c r="C60" s="77"/>
      <c r="D60" s="77"/>
      <c r="E60" s="65"/>
      <c r="F60" s="77"/>
      <c r="G60" s="77"/>
      <c r="H60" s="77"/>
      <c r="I60" s="77"/>
      <c r="J60" s="77"/>
      <c r="K60" s="77"/>
      <c r="L60" s="77"/>
      <c r="M60" s="77"/>
      <c r="N60" s="77"/>
      <c r="P60" s="83"/>
    </row>
    <row r="61" spans="1:19" ht="45" hidden="1" customHeight="1" x14ac:dyDescent="0.2">
      <c r="A61" s="31"/>
      <c r="B61" s="85"/>
      <c r="C61" s="77"/>
      <c r="D61" s="77"/>
      <c r="F61" s="77"/>
      <c r="G61" s="77"/>
      <c r="H61" s="77"/>
      <c r="I61" s="77"/>
      <c r="J61" s="77"/>
      <c r="K61" s="77"/>
      <c r="L61" s="77"/>
      <c r="M61" s="77"/>
      <c r="N61" s="77"/>
      <c r="P61" s="83"/>
    </row>
    <row r="62" spans="1:19" ht="32.25" hidden="1" customHeight="1" x14ac:dyDescent="0.2">
      <c r="A62" s="31"/>
      <c r="B62" s="85"/>
      <c r="C62" s="77"/>
      <c r="D62" s="77"/>
      <c r="F62" s="77"/>
      <c r="G62" s="77"/>
      <c r="H62" s="77"/>
      <c r="I62" s="77"/>
      <c r="J62" s="77"/>
      <c r="K62" s="77"/>
      <c r="L62" s="77"/>
      <c r="M62" s="77"/>
      <c r="N62" s="77"/>
      <c r="P62" s="83"/>
      <c r="S62" t="s">
        <v>150</v>
      </c>
    </row>
    <row r="63" spans="1:19" ht="30.75" hidden="1" customHeight="1" x14ac:dyDescent="0.2">
      <c r="A63" s="31"/>
      <c r="B63" s="85"/>
      <c r="C63" s="77"/>
      <c r="D63" s="77"/>
      <c r="F63" s="77"/>
      <c r="G63" s="77"/>
      <c r="H63" s="77"/>
      <c r="I63" s="77"/>
      <c r="J63" s="77"/>
      <c r="K63" s="77"/>
      <c r="L63" s="77"/>
      <c r="M63" s="77"/>
      <c r="N63" s="77"/>
      <c r="P63" s="83"/>
    </row>
    <row r="64" spans="1:19" ht="45" hidden="1" customHeight="1" x14ac:dyDescent="0.2">
      <c r="A64" s="31"/>
      <c r="B64" s="85"/>
      <c r="C64" s="77"/>
      <c r="D64" s="77"/>
      <c r="F64" s="77"/>
      <c r="G64" s="77"/>
      <c r="H64" s="77"/>
      <c r="I64" s="77"/>
      <c r="J64" s="77"/>
      <c r="K64" s="77"/>
      <c r="L64" s="77"/>
      <c r="M64" s="77"/>
      <c r="N64" s="77"/>
      <c r="P64" s="83"/>
    </row>
    <row r="65" spans="1:16" ht="25.5" hidden="1" customHeight="1" x14ac:dyDescent="0.2">
      <c r="A65" s="31"/>
      <c r="B65" s="41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P65" s="83"/>
    </row>
    <row r="66" spans="1:16" ht="42" hidden="1" customHeight="1" x14ac:dyDescent="0.2">
      <c r="A66" s="66"/>
      <c r="B66" s="42"/>
      <c r="C66" s="39"/>
      <c r="D66" s="39"/>
      <c r="F66" s="39"/>
      <c r="G66" s="39"/>
      <c r="H66" s="39"/>
      <c r="I66" s="39"/>
      <c r="J66" s="39"/>
      <c r="K66" s="39"/>
      <c r="L66" s="39"/>
      <c r="M66" s="39"/>
      <c r="N66" s="39"/>
      <c r="P66" s="83"/>
    </row>
    <row r="67" spans="1:16" ht="29.25" hidden="1" customHeight="1" x14ac:dyDescent="0.2">
      <c r="A67" s="66"/>
      <c r="B67" s="42"/>
      <c r="C67" s="39"/>
      <c r="D67" s="39"/>
      <c r="F67" s="39"/>
      <c r="G67" s="39"/>
      <c r="H67" s="39"/>
      <c r="I67" s="39"/>
      <c r="J67" s="39"/>
      <c r="K67" s="39"/>
      <c r="L67" s="39"/>
      <c r="M67" s="39"/>
      <c r="N67" s="39"/>
      <c r="P67" s="83"/>
    </row>
    <row r="68" spans="1:16" ht="29.25" hidden="1" customHeight="1" x14ac:dyDescent="0.2">
      <c r="A68" s="66"/>
      <c r="B68" s="50"/>
      <c r="C68" s="39"/>
      <c r="D68" s="39"/>
      <c r="F68" s="39"/>
      <c r="G68" s="39"/>
      <c r="H68" s="39"/>
      <c r="I68" s="39"/>
      <c r="J68" s="39"/>
      <c r="K68" s="39"/>
      <c r="L68" s="39"/>
      <c r="M68" s="39"/>
      <c r="N68" s="39"/>
      <c r="P68" s="83"/>
    </row>
    <row r="69" spans="1:16" s="31" customFormat="1" ht="37.5" hidden="1" customHeight="1" x14ac:dyDescent="0.2">
      <c r="A69" s="66"/>
      <c r="B69" s="50"/>
      <c r="C69" s="39"/>
      <c r="D69" s="39"/>
      <c r="F69" s="39"/>
      <c r="G69" s="39"/>
      <c r="H69" s="39"/>
      <c r="I69" s="39"/>
      <c r="J69" s="39"/>
      <c r="K69" s="39"/>
      <c r="L69" s="39"/>
      <c r="M69" s="39"/>
      <c r="N69" s="39"/>
      <c r="P69" s="107"/>
    </row>
    <row r="70" spans="1:16" s="31" customFormat="1" ht="36.75" hidden="1" customHeight="1" x14ac:dyDescent="0.2">
      <c r="A70" s="66"/>
      <c r="B70" s="50"/>
      <c r="C70" s="77"/>
      <c r="D70" s="77"/>
      <c r="F70" s="77"/>
      <c r="G70" s="77"/>
      <c r="H70" s="77"/>
      <c r="I70" s="77"/>
      <c r="J70" s="77"/>
      <c r="K70" s="77"/>
      <c r="L70" s="77"/>
      <c r="M70" s="77"/>
      <c r="N70" s="77"/>
      <c r="P70" s="107"/>
    </row>
    <row r="71" spans="1:16" s="31" customFormat="1" ht="30" hidden="1" customHeight="1" x14ac:dyDescent="0.2">
      <c r="A71" s="47"/>
      <c r="B71" s="42"/>
      <c r="C71" s="77"/>
      <c r="D71" s="77"/>
      <c r="E71" s="93"/>
      <c r="F71" s="77"/>
      <c r="G71" s="77"/>
      <c r="H71" s="77"/>
      <c r="I71" s="77"/>
      <c r="J71" s="77"/>
      <c r="K71" s="77"/>
      <c r="L71" s="77"/>
      <c r="M71" s="77"/>
      <c r="N71" s="77"/>
      <c r="P71" s="107"/>
    </row>
    <row r="72" spans="1:16" s="31" customFormat="1" ht="37.5" hidden="1" customHeight="1" x14ac:dyDescent="0.2">
      <c r="A72" s="66"/>
      <c r="B72" s="42"/>
      <c r="C72" s="77"/>
      <c r="D72" s="77"/>
      <c r="F72" s="77"/>
      <c r="G72" s="77"/>
      <c r="H72" s="77"/>
      <c r="I72" s="77"/>
      <c r="J72" s="77"/>
      <c r="K72" s="77"/>
      <c r="L72" s="77"/>
      <c r="M72" s="77"/>
      <c r="N72" s="77"/>
      <c r="P72" s="107"/>
    </row>
    <row r="73" spans="1:16" s="31" customFormat="1" ht="36.75" hidden="1" customHeight="1" x14ac:dyDescent="0.2">
      <c r="A73" s="66"/>
      <c r="B73" s="42"/>
      <c r="C73" s="77"/>
      <c r="D73" s="77"/>
      <c r="F73" s="77"/>
      <c r="G73" s="77"/>
      <c r="H73" s="77"/>
      <c r="I73" s="77"/>
      <c r="J73" s="77"/>
      <c r="K73" s="77"/>
      <c r="L73" s="77"/>
      <c r="M73" s="77"/>
      <c r="N73" s="77"/>
      <c r="P73" s="107"/>
    </row>
    <row r="74" spans="1:16" s="31" customFormat="1" ht="22.5" hidden="1" customHeight="1" x14ac:dyDescent="0.2">
      <c r="A74" s="66"/>
      <c r="B74" s="42"/>
      <c r="C74" s="77"/>
      <c r="D74" s="77"/>
      <c r="E74" s="94"/>
      <c r="F74" s="77"/>
      <c r="G74" s="77"/>
      <c r="H74" s="77"/>
      <c r="I74" s="77"/>
      <c r="J74" s="77"/>
      <c r="K74" s="77"/>
      <c r="L74" s="77"/>
      <c r="M74" s="77"/>
      <c r="N74" s="77"/>
      <c r="P74" s="107"/>
    </row>
    <row r="75" spans="1:16" s="31" customFormat="1" ht="47.25" hidden="1" customHeight="1" x14ac:dyDescent="0.2">
      <c r="A75" s="47"/>
      <c r="B75" s="42"/>
      <c r="C75" s="77"/>
      <c r="D75" s="77"/>
      <c r="E75" s="73"/>
      <c r="F75" s="77"/>
      <c r="G75" s="77"/>
      <c r="H75" s="77"/>
      <c r="I75" s="77"/>
      <c r="J75" s="77"/>
      <c r="K75" s="77"/>
      <c r="L75" s="77"/>
      <c r="M75" s="77"/>
      <c r="N75" s="77"/>
      <c r="P75" s="107"/>
    </row>
    <row r="76" spans="1:16" s="31" customFormat="1" ht="31.5" hidden="1" customHeight="1" x14ac:dyDescent="0.2">
      <c r="A76" s="47"/>
      <c r="B76" s="42"/>
      <c r="C76" s="39"/>
      <c r="D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1:16" s="31" customFormat="1" ht="29.25" hidden="1" customHeight="1" x14ac:dyDescent="0.2">
      <c r="A77" s="47"/>
      <c r="B77" s="42"/>
      <c r="C77" s="39"/>
      <c r="D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6" s="31" customFormat="1" ht="29.25" hidden="1" customHeight="1" x14ac:dyDescent="0.2">
      <c r="A78" s="47"/>
      <c r="B78" s="42"/>
      <c r="C78" s="39"/>
      <c r="D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1:16" s="31" customFormat="1" ht="29.25" hidden="1" customHeight="1" x14ac:dyDescent="0.2">
      <c r="A79" s="47"/>
      <c r="B79" s="42"/>
      <c r="C79" s="39"/>
      <c r="D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1:16" s="31" customFormat="1" ht="29.25" hidden="1" customHeight="1" x14ac:dyDescent="0.2">
      <c r="A80" s="47"/>
      <c r="B80" s="42"/>
      <c r="C80" s="39"/>
      <c r="D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2:14" ht="39" customHeight="1" x14ac:dyDescent="0.25">
      <c r="B81" s="4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</row>
    <row r="82" spans="2:14" ht="15" x14ac:dyDescent="0.2">
      <c r="B82" s="45"/>
      <c r="C82" s="44"/>
      <c r="D82" s="111"/>
      <c r="F82" s="111"/>
      <c r="G82" s="111"/>
      <c r="H82" s="111"/>
      <c r="I82" s="111"/>
      <c r="J82" s="111"/>
      <c r="K82" s="111"/>
      <c r="L82" s="111"/>
      <c r="M82" s="111"/>
      <c r="N82" s="111"/>
    </row>
    <row r="83" spans="2:14" ht="15" x14ac:dyDescent="0.2">
      <c r="B83" s="45"/>
      <c r="C83" s="32"/>
      <c r="D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2:14" x14ac:dyDescent="0.2">
      <c r="B84" s="33"/>
      <c r="C84" s="32"/>
      <c r="D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2:14" x14ac:dyDescent="0.2">
      <c r="C85" s="2017"/>
      <c r="D85" s="2018"/>
    </row>
    <row r="86" spans="2:14" x14ac:dyDescent="0.2">
      <c r="D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2:14" ht="12.75" hidden="1" customHeight="1" x14ac:dyDescent="0.2">
      <c r="B87" s="2" t="s">
        <v>172</v>
      </c>
      <c r="D87" s="30">
        <v>11360</v>
      </c>
      <c r="F87" s="30">
        <v>11360</v>
      </c>
      <c r="G87" s="30">
        <v>11360</v>
      </c>
      <c r="H87" s="30">
        <v>11360</v>
      </c>
      <c r="I87" s="30">
        <v>11360</v>
      </c>
      <c r="J87" s="30">
        <v>11360</v>
      </c>
      <c r="K87" s="30">
        <v>11360</v>
      </c>
      <c r="L87" s="30">
        <v>11360</v>
      </c>
      <c r="M87" s="30">
        <v>11360</v>
      </c>
      <c r="N87" s="30">
        <v>11360</v>
      </c>
    </row>
    <row r="88" spans="2:14" ht="12.75" hidden="1" customHeight="1" x14ac:dyDescent="0.2">
      <c r="B88" t="s">
        <v>171</v>
      </c>
      <c r="D88" s="30">
        <v>9655</v>
      </c>
      <c r="F88" s="30">
        <v>9655</v>
      </c>
      <c r="G88" s="30">
        <v>9655</v>
      </c>
      <c r="H88" s="30">
        <v>9655</v>
      </c>
      <c r="I88" s="30">
        <v>9655</v>
      </c>
      <c r="J88" s="30">
        <v>9655</v>
      </c>
      <c r="K88" s="30">
        <v>9655</v>
      </c>
      <c r="L88" s="30">
        <v>9655</v>
      </c>
      <c r="M88" s="30">
        <v>9655</v>
      </c>
      <c r="N88" s="30">
        <v>9655</v>
      </c>
    </row>
    <row r="89" spans="2:14" ht="12.75" hidden="1" customHeight="1" x14ac:dyDescent="0.2">
      <c r="B89" s="2" t="s">
        <v>173</v>
      </c>
      <c r="D89" s="30">
        <v>1411000</v>
      </c>
      <c r="F89" s="30">
        <v>1411000</v>
      </c>
      <c r="G89" s="30">
        <v>1411000</v>
      </c>
      <c r="H89" s="30">
        <v>1411000</v>
      </c>
      <c r="I89" s="30">
        <v>1411000</v>
      </c>
      <c r="J89" s="30">
        <v>1411000</v>
      </c>
      <c r="K89" s="30">
        <v>1411000</v>
      </c>
      <c r="L89" s="30">
        <v>1411000</v>
      </c>
      <c r="M89" s="30">
        <v>1411000</v>
      </c>
      <c r="N89" s="30">
        <v>1411000</v>
      </c>
    </row>
    <row r="90" spans="2:14" ht="12.75" hidden="1" customHeight="1" x14ac:dyDescent="0.2"/>
    <row r="91" spans="2:14" ht="12.75" hidden="1" customHeight="1" x14ac:dyDescent="0.2">
      <c r="D91" s="30">
        <f>D89-D81</f>
        <v>1411000</v>
      </c>
      <c r="F91" s="30">
        <f t="shared" ref="F91:N91" si="14">F89-F81</f>
        <v>1411000</v>
      </c>
      <c r="G91" s="30">
        <f t="shared" si="14"/>
        <v>1411000</v>
      </c>
      <c r="H91" s="30">
        <f t="shared" si="14"/>
        <v>1411000</v>
      </c>
      <c r="I91" s="30">
        <f t="shared" si="14"/>
        <v>1411000</v>
      </c>
      <c r="J91" s="30">
        <f t="shared" si="14"/>
        <v>1411000</v>
      </c>
      <c r="K91" s="30">
        <f t="shared" si="14"/>
        <v>1411000</v>
      </c>
      <c r="L91" s="30">
        <f t="shared" si="14"/>
        <v>1411000</v>
      </c>
      <c r="M91" s="30">
        <f t="shared" si="14"/>
        <v>1411000</v>
      </c>
      <c r="N91" s="30">
        <f t="shared" si="14"/>
        <v>1411000</v>
      </c>
    </row>
    <row r="92" spans="2:14" ht="12.75" hidden="1" customHeight="1" x14ac:dyDescent="0.2"/>
    <row r="93" spans="2:14" ht="12.75" hidden="1" customHeight="1" x14ac:dyDescent="0.2">
      <c r="D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2:14" ht="12.75" hidden="1" customHeight="1" x14ac:dyDescent="0.2">
      <c r="D94" s="30" t="e">
        <f>D12+#REF!+#REF!+D47+#REF!+#REF!+D54+#REF!+D55+D66+D69+#REF!</f>
        <v>#REF!</v>
      </c>
      <c r="F94" s="30" t="e">
        <f>F12+#REF!+#REF!+F47+#REF!+#REF!+F54+#REF!+F55+F66+F69+#REF!</f>
        <v>#REF!</v>
      </c>
      <c r="G94" s="30" t="e">
        <f>G12+#REF!+#REF!+G47+#REF!+#REF!+G54+#REF!+G55+G66+G69+#REF!</f>
        <v>#REF!</v>
      </c>
      <c r="H94" s="30" t="e">
        <f>H12+#REF!+#REF!+H47+#REF!+#REF!+H54+#REF!+H55+H66+H69+#REF!</f>
        <v>#REF!</v>
      </c>
      <c r="I94" s="30" t="e">
        <f>I12+#REF!+#REF!+I47+#REF!+#REF!+I54+#REF!+I55+I66+I69+#REF!</f>
        <v>#REF!</v>
      </c>
      <c r="J94" s="30" t="e">
        <f>J12+#REF!+#REF!+J47+#REF!+#REF!+J54+#REF!+J55+J66+J69+#REF!</f>
        <v>#REF!</v>
      </c>
      <c r="K94" s="30" t="e">
        <f>K12+#REF!+#REF!+K47+#REF!+#REF!+K54+#REF!+K55+K66+K69+#REF!</f>
        <v>#REF!</v>
      </c>
      <c r="L94" s="30" t="e">
        <f>L12+#REF!+#REF!+L47+#REF!+#REF!+L54+#REF!+L55+L66+L69+#REF!</f>
        <v>#REF!</v>
      </c>
      <c r="M94" s="30" t="e">
        <f>M12+#REF!+#REF!+M47+#REF!+#REF!+M54+#REF!+M55+M66+M69+#REF!</f>
        <v>#REF!</v>
      </c>
      <c r="N94" s="30" t="e">
        <f>N12+#REF!+#REF!+N47+#REF!+#REF!+N54+#REF!+N55+N66+N69+#REF!</f>
        <v>#REF!</v>
      </c>
    </row>
    <row r="96" spans="2:14" ht="12.75" hidden="1" customHeight="1" x14ac:dyDescent="0.2">
      <c r="B96" t="s">
        <v>201</v>
      </c>
      <c r="D96" s="83"/>
      <c r="F96" s="83"/>
      <c r="G96" s="83"/>
      <c r="H96" s="83"/>
      <c r="I96" s="83"/>
      <c r="J96" s="83"/>
      <c r="K96" s="83"/>
      <c r="L96" s="83"/>
      <c r="M96" s="83"/>
      <c r="N96" s="83"/>
    </row>
    <row r="97" spans="2:14" ht="12.75" hidden="1" customHeight="1" x14ac:dyDescent="0.2">
      <c r="D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2:14" ht="12.75" hidden="1" customHeight="1" x14ac:dyDescent="0.2">
      <c r="B98" t="s">
        <v>196</v>
      </c>
      <c r="C98">
        <f>2.3+2.3+1.45</f>
        <v>6.05</v>
      </c>
      <c r="D98" s="83"/>
      <c r="F98" s="83"/>
      <c r="G98" s="83"/>
      <c r="H98" s="83"/>
      <c r="I98" s="83"/>
      <c r="J98" s="83"/>
      <c r="K98" s="83"/>
      <c r="L98" s="83"/>
      <c r="M98" s="83"/>
      <c r="N98" s="83"/>
    </row>
    <row r="99" spans="2:14" ht="12.75" hidden="1" customHeight="1" x14ac:dyDescent="0.2">
      <c r="B99" t="s">
        <v>191</v>
      </c>
      <c r="C99">
        <f>360+15</f>
        <v>375</v>
      </c>
    </row>
    <row r="100" spans="2:14" ht="12.75" hidden="1" customHeight="1" x14ac:dyDescent="0.2">
      <c r="B100" t="s">
        <v>192</v>
      </c>
      <c r="C100">
        <f>9+2+2+2+1</f>
        <v>16</v>
      </c>
    </row>
    <row r="101" spans="2:14" ht="12.75" hidden="1" customHeight="1" x14ac:dyDescent="0.2">
      <c r="B101" t="s">
        <v>193</v>
      </c>
      <c r="C101">
        <f>12+2+2+2.5+1.4</f>
        <v>19.899999999999999</v>
      </c>
    </row>
    <row r="102" spans="2:14" ht="12.75" hidden="1" customHeight="1" x14ac:dyDescent="0.2">
      <c r="B102" t="s">
        <v>194</v>
      </c>
      <c r="C102">
        <f>12+12+12</f>
        <v>36</v>
      </c>
    </row>
    <row r="103" spans="2:14" ht="12.75" hidden="1" customHeight="1" x14ac:dyDescent="0.2">
      <c r="B103" t="s">
        <v>199</v>
      </c>
      <c r="C103">
        <f>16+16+24</f>
        <v>56</v>
      </c>
    </row>
    <row r="104" spans="2:14" ht="12.75" hidden="1" customHeight="1" x14ac:dyDescent="0.2">
      <c r="B104" t="s">
        <v>195</v>
      </c>
      <c r="C104">
        <f>0.66+0.768+0.66+0.768+0.66+1.152</f>
        <v>4.6680000000000001</v>
      </c>
      <c r="D104" s="30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2:14" ht="12.75" hidden="1" customHeight="1" x14ac:dyDescent="0.2">
      <c r="B105" t="s">
        <v>197</v>
      </c>
      <c r="C105">
        <f>24</f>
        <v>24</v>
      </c>
    </row>
    <row r="106" spans="2:14" ht="12.75" hidden="1" customHeight="1" x14ac:dyDescent="0.2">
      <c r="B106" t="s">
        <v>198</v>
      </c>
      <c r="C106">
        <f>91.44</f>
        <v>91.44</v>
      </c>
    </row>
    <row r="107" spans="2:14" ht="12.75" hidden="1" customHeight="1" x14ac:dyDescent="0.2">
      <c r="B107" t="s">
        <v>200</v>
      </c>
      <c r="C107">
        <v>1</v>
      </c>
    </row>
    <row r="108" spans="2:14" ht="12.75" hidden="1" customHeight="1" x14ac:dyDescent="0.2"/>
  </sheetData>
  <mergeCells count="21">
    <mergeCell ref="C85:D85"/>
    <mergeCell ref="C1:D1"/>
    <mergeCell ref="B6:D6"/>
    <mergeCell ref="B7:D7"/>
    <mergeCell ref="B9:B10"/>
    <mergeCell ref="C9:C10"/>
    <mergeCell ref="D9:D10"/>
    <mergeCell ref="B48:B49"/>
    <mergeCell ref="C48:C49"/>
    <mergeCell ref="D48:D49"/>
    <mergeCell ref="N48:N50"/>
    <mergeCell ref="F48:F50"/>
    <mergeCell ref="I9:J9"/>
    <mergeCell ref="G9:H9"/>
    <mergeCell ref="G49:H49"/>
    <mergeCell ref="I49:J49"/>
    <mergeCell ref="F9:F10"/>
    <mergeCell ref="N9:N10"/>
    <mergeCell ref="K9:M9"/>
    <mergeCell ref="G50:J50"/>
    <mergeCell ref="K49:M50"/>
  </mergeCells>
  <pageMargins left="0.70866141732283472" right="0.23622047244094491" top="0.47244094488188981" bottom="0.19685039370078741" header="0.31496062992125984" footer="0.31496062992125984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X37"/>
  <sheetViews>
    <sheetView view="pageBreakPreview" zoomScale="115" zoomScaleSheetLayoutView="115" workbookViewId="0">
      <selection activeCell="D11" sqref="D11"/>
    </sheetView>
  </sheetViews>
  <sheetFormatPr defaultColWidth="9.140625" defaultRowHeight="15.75" x14ac:dyDescent="0.2"/>
  <cols>
    <col min="1" max="1" width="4.140625" style="1292" bestFit="1" customWidth="1"/>
    <col min="2" max="2" width="31.28515625" style="229" customWidth="1"/>
    <col min="3" max="3" width="5" style="1292" customWidth="1"/>
    <col min="4" max="4" width="6.28515625" style="229" bestFit="1" customWidth="1"/>
    <col min="5" max="6" width="6.140625" style="229" customWidth="1"/>
    <col min="7" max="8" width="6.28515625" style="229" bestFit="1" customWidth="1"/>
    <col min="9" max="9" width="4.42578125" style="229" bestFit="1" customWidth="1"/>
    <col min="10" max="10" width="6.140625" style="229" bestFit="1" customWidth="1"/>
    <col min="11" max="12" width="6.140625" style="229" customWidth="1"/>
    <col min="13" max="13" width="6.140625" style="229" bestFit="1" customWidth="1"/>
    <col min="14" max="14" width="7.5703125" style="229" customWidth="1"/>
    <col min="15" max="15" width="6.140625" style="229" bestFit="1" customWidth="1"/>
    <col min="16" max="17" width="6.140625" style="229" customWidth="1"/>
    <col min="18" max="16384" width="9.140625" style="229"/>
  </cols>
  <sheetData>
    <row r="2" spans="1:17" ht="44.25" customHeight="1" x14ac:dyDescent="0.2">
      <c r="A2" s="2392" t="s">
        <v>620</v>
      </c>
      <c r="B2" s="2392"/>
      <c r="C2" s="2392"/>
      <c r="D2" s="2392"/>
      <c r="E2" s="2392"/>
      <c r="F2" s="2392"/>
      <c r="G2" s="2392"/>
      <c r="H2" s="2392"/>
      <c r="I2" s="2392"/>
      <c r="J2" s="2392"/>
      <c r="K2" s="2392"/>
      <c r="L2" s="2392"/>
      <c r="M2" s="2392"/>
      <c r="N2" s="2392"/>
      <c r="O2" s="2392"/>
    </row>
    <row r="3" spans="1:17" ht="16.5" thickBot="1" x14ac:dyDescent="0.25"/>
    <row r="4" spans="1:17" ht="15.75" customHeight="1" x14ac:dyDescent="0.2">
      <c r="A4" s="2407" t="s">
        <v>271</v>
      </c>
      <c r="B4" s="2405" t="s">
        <v>621</v>
      </c>
      <c r="C4" s="2409" t="s">
        <v>633</v>
      </c>
      <c r="D4" s="2402" t="s">
        <v>632</v>
      </c>
      <c r="E4" s="2403"/>
      <c r="F4" s="2403"/>
      <c r="G4" s="2403"/>
      <c r="H4" s="2403"/>
      <c r="I4" s="2404"/>
      <c r="J4" s="2402" t="s">
        <v>631</v>
      </c>
      <c r="K4" s="2403"/>
      <c r="L4" s="2403"/>
      <c r="M4" s="2403"/>
      <c r="N4" s="2403"/>
      <c r="O4" s="2404"/>
    </row>
    <row r="5" spans="1:17" ht="104.25" customHeight="1" thickBot="1" x14ac:dyDescent="0.25">
      <c r="A5" s="2408"/>
      <c r="B5" s="2406"/>
      <c r="C5" s="2410"/>
      <c r="D5" s="1308" t="s">
        <v>629</v>
      </c>
      <c r="E5" s="1309" t="s">
        <v>858</v>
      </c>
      <c r="F5" s="1309" t="s">
        <v>622</v>
      </c>
      <c r="G5" s="1309" t="s">
        <v>193</v>
      </c>
      <c r="H5" s="1309" t="s">
        <v>628</v>
      </c>
      <c r="I5" s="1310" t="s">
        <v>630</v>
      </c>
      <c r="J5" s="1308" t="s">
        <v>629</v>
      </c>
      <c r="K5" s="1309" t="s">
        <v>858</v>
      </c>
      <c r="L5" s="1309" t="s">
        <v>622</v>
      </c>
      <c r="M5" s="1309" t="s">
        <v>193</v>
      </c>
      <c r="N5" s="1309" t="s">
        <v>628</v>
      </c>
      <c r="O5" s="1310" t="s">
        <v>630</v>
      </c>
    </row>
    <row r="6" spans="1:17" ht="31.5" x14ac:dyDescent="0.2">
      <c r="A6" s="393">
        <v>1</v>
      </c>
      <c r="B6" s="1305" t="s">
        <v>623</v>
      </c>
      <c r="C6" s="1306">
        <v>113</v>
      </c>
      <c r="D6" s="394">
        <f>план!AJ8</f>
        <v>496.06913992907812</v>
      </c>
      <c r="E6" s="555"/>
      <c r="F6" s="555"/>
      <c r="G6" s="555">
        <f>план!AM8</f>
        <v>849.13383091503283</v>
      </c>
      <c r="H6" s="555"/>
      <c r="I6" s="1307"/>
      <c r="J6" s="394">
        <f>D6*1.41</f>
        <v>699.45748730000014</v>
      </c>
      <c r="K6" s="555"/>
      <c r="L6" s="555"/>
      <c r="M6" s="555">
        <f>G6*1.53</f>
        <v>1299.1747613000002</v>
      </c>
      <c r="N6" s="555"/>
      <c r="O6" s="1307"/>
      <c r="P6" s="1295"/>
      <c r="Q6" s="1295"/>
    </row>
    <row r="7" spans="1:17" ht="31.5" x14ac:dyDescent="0.2">
      <c r="A7" s="391">
        <v>2</v>
      </c>
      <c r="B7" s="1296" t="s">
        <v>624</v>
      </c>
      <c r="C7" s="1777" t="s">
        <v>856</v>
      </c>
      <c r="D7" s="392"/>
      <c r="E7" s="390"/>
      <c r="F7" s="390"/>
      <c r="G7" s="390"/>
      <c r="H7" s="390">
        <f>план!BF9+план!BF17</f>
        <v>2891.286551724138</v>
      </c>
      <c r="I7" s="1297"/>
      <c r="J7" s="392"/>
      <c r="K7" s="390"/>
      <c r="L7" s="390"/>
      <c r="M7" s="390"/>
      <c r="N7" s="390">
        <f>H7*1.45</f>
        <v>4192.3654999999999</v>
      </c>
      <c r="O7" s="1297"/>
      <c r="P7" s="1295"/>
      <c r="Q7" s="1295"/>
    </row>
    <row r="8" spans="1:17" ht="31.5" x14ac:dyDescent="0.2">
      <c r="A8" s="391">
        <v>3</v>
      </c>
      <c r="B8" s="1296" t="s">
        <v>625</v>
      </c>
      <c r="C8" s="1294">
        <v>154</v>
      </c>
      <c r="D8" s="392"/>
      <c r="E8" s="390"/>
      <c r="F8" s="390"/>
      <c r="G8" s="390"/>
      <c r="H8" s="390">
        <f>план!BF18</f>
        <v>3377.2874482758616</v>
      </c>
      <c r="I8" s="1297"/>
      <c r="J8" s="392"/>
      <c r="K8" s="390"/>
      <c r="L8" s="390"/>
      <c r="M8" s="390"/>
      <c r="N8" s="390">
        <f>H8*1.45</f>
        <v>4897.0667999999996</v>
      </c>
      <c r="O8" s="1297"/>
      <c r="P8" s="1295"/>
      <c r="Q8" s="1295"/>
    </row>
    <row r="9" spans="1:17" x14ac:dyDescent="0.2">
      <c r="A9" s="391"/>
      <c r="B9" s="1296"/>
      <c r="C9" s="1294"/>
      <c r="D9" s="392"/>
      <c r="E9" s="390"/>
      <c r="F9" s="390"/>
      <c r="G9" s="390"/>
      <c r="H9" s="390"/>
      <c r="I9" s="1297"/>
      <c r="J9" s="392"/>
      <c r="K9" s="390"/>
      <c r="L9" s="390"/>
      <c r="M9" s="390"/>
      <c r="N9" s="390"/>
      <c r="O9" s="1297"/>
      <c r="P9" s="1295"/>
      <c r="Q9" s="1295"/>
    </row>
    <row r="10" spans="1:17" ht="31.5" x14ac:dyDescent="0.2">
      <c r="A10" s="391">
        <v>4</v>
      </c>
      <c r="B10" s="1296" t="s">
        <v>626</v>
      </c>
      <c r="C10" s="1777" t="s">
        <v>857</v>
      </c>
      <c r="D10" s="392"/>
      <c r="E10" s="390"/>
      <c r="F10" s="390">
        <f>план!BJ29+план!BR29</f>
        <v>267.69195999999971</v>
      </c>
      <c r="G10" s="390">
        <f>план!BT29+план!AM30</f>
        <v>572.04064000000096</v>
      </c>
      <c r="H10" s="390"/>
      <c r="I10" s="1297">
        <f>план!BK29</f>
        <v>204.51279999999983</v>
      </c>
      <c r="J10" s="392"/>
      <c r="K10" s="390"/>
      <c r="L10" s="390">
        <f>F10*1.38</f>
        <v>369.41490479999959</v>
      </c>
      <c r="M10" s="390">
        <f>G10*1.53</f>
        <v>875.22217920000151</v>
      </c>
      <c r="N10" s="390"/>
      <c r="O10" s="1297">
        <f>I10*1.41</f>
        <v>288.36304799999976</v>
      </c>
      <c r="P10" s="1295"/>
      <c r="Q10" s="1295"/>
    </row>
    <row r="11" spans="1:17" ht="16.5" thickBot="1" x14ac:dyDescent="0.25">
      <c r="A11" s="395">
        <v>5</v>
      </c>
      <c r="B11" s="1298" t="s">
        <v>627</v>
      </c>
      <c r="C11" s="1299">
        <v>113</v>
      </c>
      <c r="D11" s="1300">
        <f>план!AJ31+план!AV31</f>
        <v>1117.603040851064</v>
      </c>
      <c r="E11" s="1293">
        <f>план!AZ31</f>
        <v>2064.7420000000002</v>
      </c>
      <c r="F11" s="1293">
        <f>план!AK31+план!AY31</f>
        <v>1491.7208051294963</v>
      </c>
      <c r="G11" s="1293">
        <f>план!AM31</f>
        <v>1321.766007640523</v>
      </c>
      <c r="H11" s="1293"/>
      <c r="I11" s="1301">
        <f>план!BH31</f>
        <v>251.28299999999999</v>
      </c>
      <c r="J11" s="1300">
        <f>D11*1.36</f>
        <v>1519.9401355574471</v>
      </c>
      <c r="K11" s="1293">
        <f>E11*1.37</f>
        <v>2828.6965400000004</v>
      </c>
      <c r="L11" s="1293">
        <f>F11*1.38</f>
        <v>2058.5747110787047</v>
      </c>
      <c r="M11" s="390">
        <f>G11*1.53</f>
        <v>2022.3019916900002</v>
      </c>
      <c r="N11" s="1293"/>
      <c r="O11" s="1297">
        <f>I11*1.41</f>
        <v>354.30902999999995</v>
      </c>
      <c r="P11" s="1295"/>
      <c r="Q11" s="1295"/>
    </row>
    <row r="12" spans="1:17" ht="26.25" customHeight="1" x14ac:dyDescent="0.2">
      <c r="A12" s="2393" t="s">
        <v>256</v>
      </c>
      <c r="B12" s="2394"/>
      <c r="C12" s="2395"/>
      <c r="D12" s="1302">
        <f>SUM(D6:D11)</f>
        <v>1613.6721807801421</v>
      </c>
      <c r="E12" s="1303">
        <f t="shared" ref="E12:I12" si="0">SUM(E6:E11)</f>
        <v>2064.7420000000002</v>
      </c>
      <c r="F12" s="1303">
        <f t="shared" si="0"/>
        <v>1759.4127651294959</v>
      </c>
      <c r="G12" s="1303">
        <f t="shared" si="0"/>
        <v>2742.9404785555571</v>
      </c>
      <c r="H12" s="1303">
        <f t="shared" si="0"/>
        <v>6268.5739999999996</v>
      </c>
      <c r="I12" s="1304">
        <f t="shared" si="0"/>
        <v>455.79579999999982</v>
      </c>
      <c r="J12" s="1302">
        <f>SUM(J6:J11)</f>
        <v>2219.3976228574475</v>
      </c>
      <c r="K12" s="1303">
        <f t="shared" ref="K12" si="1">SUM(K6:K11)</f>
        <v>2828.6965400000004</v>
      </c>
      <c r="L12" s="1303">
        <f t="shared" ref="L12" si="2">SUM(L6:L11)</f>
        <v>2427.9896158787042</v>
      </c>
      <c r="M12" s="1303">
        <f t="shared" ref="M12" si="3">SUM(M6:M11)</f>
        <v>4196.6989321900019</v>
      </c>
      <c r="N12" s="1303">
        <f t="shared" ref="N12" si="4">SUM(N6:N11)</f>
        <v>9089.4323000000004</v>
      </c>
      <c r="O12" s="1304">
        <f>SUM(O6:O11)</f>
        <v>642.67207799999971</v>
      </c>
      <c r="P12" s="1295"/>
      <c r="Q12" s="1295"/>
    </row>
    <row r="13" spans="1:17" ht="26.25" customHeight="1" thickBot="1" x14ac:dyDescent="0.25">
      <c r="A13" s="2396"/>
      <c r="B13" s="2397"/>
      <c r="C13" s="2398"/>
      <c r="D13" s="2399">
        <f>SUM(D12:I12)</f>
        <v>14905.137224465194</v>
      </c>
      <c r="E13" s="2400"/>
      <c r="F13" s="2400"/>
      <c r="G13" s="2400"/>
      <c r="H13" s="2400"/>
      <c r="I13" s="2401"/>
      <c r="J13" s="2399">
        <f>SUM(J12:O12)</f>
        <v>21404.887088926153</v>
      </c>
      <c r="K13" s="2400"/>
      <c r="L13" s="2400"/>
      <c r="M13" s="2400"/>
      <c r="N13" s="2400"/>
      <c r="O13" s="2401"/>
      <c r="P13" s="1295"/>
      <c r="Q13" s="1295"/>
    </row>
    <row r="14" spans="1:17" ht="16.5" thickBot="1" x14ac:dyDescent="0.25">
      <c r="B14" s="230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1295"/>
      <c r="Q14" s="1295"/>
    </row>
    <row r="15" spans="1:17" x14ac:dyDescent="0.2">
      <c r="B15" s="230"/>
      <c r="D15" s="2413" t="s">
        <v>635</v>
      </c>
      <c r="E15" s="2414"/>
      <c r="F15" s="2414"/>
      <c r="G15" s="2414"/>
      <c r="H15" s="2414"/>
      <c r="I15" s="2414"/>
      <c r="J15" s="375">
        <f>ROUNDUP(J12/69,0)</f>
        <v>33</v>
      </c>
      <c r="K15" s="375">
        <f t="shared" ref="K15:O15" si="5">ROUNDUP(K12/69,0)</f>
        <v>41</v>
      </c>
      <c r="L15" s="375">
        <f t="shared" si="5"/>
        <v>36</v>
      </c>
      <c r="M15" s="375">
        <f t="shared" si="5"/>
        <v>61</v>
      </c>
      <c r="N15" s="375">
        <f t="shared" si="5"/>
        <v>132</v>
      </c>
      <c r="O15" s="1311">
        <f t="shared" si="5"/>
        <v>10</v>
      </c>
      <c r="P15" s="1295"/>
      <c r="Q15" s="1295"/>
    </row>
    <row r="16" spans="1:17" ht="16.5" thickBot="1" x14ac:dyDescent="0.25">
      <c r="A16" s="229"/>
      <c r="B16" s="230"/>
      <c r="D16" s="2415"/>
      <c r="E16" s="2411"/>
      <c r="F16" s="2411"/>
      <c r="G16" s="2411"/>
      <c r="H16" s="2411"/>
      <c r="I16" s="2411"/>
      <c r="J16" s="2411">
        <f>SUM(J15:O15)</f>
        <v>313</v>
      </c>
      <c r="K16" s="2411"/>
      <c r="L16" s="2411"/>
      <c r="M16" s="2411"/>
      <c r="N16" s="2411"/>
      <c r="O16" s="2412"/>
      <c r="P16" s="1295"/>
      <c r="Q16" s="1295"/>
    </row>
    <row r="17" spans="1:24" x14ac:dyDescent="0.2">
      <c r="A17" s="229"/>
      <c r="B17" s="230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1295"/>
      <c r="Q17" s="1295"/>
    </row>
    <row r="18" spans="1:24" x14ac:dyDescent="0.2">
      <c r="A18" s="229"/>
      <c r="B18" s="230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1295"/>
      <c r="Q18" s="1295"/>
    </row>
    <row r="19" spans="1:24" x14ac:dyDescent="0.2">
      <c r="A19" s="229"/>
      <c r="B19" s="230"/>
      <c r="C19" s="2391" t="s">
        <v>634</v>
      </c>
      <c r="D19" s="2391"/>
      <c r="E19" s="2391"/>
      <c r="F19" s="2391"/>
      <c r="G19" s="2391"/>
      <c r="H19" s="2391"/>
      <c r="I19" s="2391"/>
      <c r="J19" s="2416" t="s">
        <v>640</v>
      </c>
      <c r="K19" s="2417"/>
      <c r="L19" s="2416" t="s">
        <v>641</v>
      </c>
      <c r="M19" s="2418"/>
      <c r="N19" s="2417"/>
      <c r="O19" s="1295"/>
      <c r="P19" s="1295"/>
      <c r="Q19" s="1295"/>
    </row>
    <row r="20" spans="1:24" x14ac:dyDescent="0.2">
      <c r="A20" s="229"/>
      <c r="B20" s="230"/>
      <c r="C20" s="2390" t="s">
        <v>636</v>
      </c>
      <c r="D20" s="2390"/>
      <c r="E20" s="2390"/>
      <c r="F20" s="2390"/>
      <c r="G20" s="2390"/>
      <c r="H20" s="2390"/>
      <c r="I20" s="2390"/>
      <c r="J20" s="635">
        <f>ROUND(2.29*1.2,2)</f>
        <v>2.75</v>
      </c>
      <c r="K20" s="1312" t="s">
        <v>511</v>
      </c>
      <c r="L20" s="2416">
        <f>ROUND(J20*69,2)</f>
        <v>189.75</v>
      </c>
      <c r="M20" s="2418"/>
      <c r="N20" s="1312" t="s">
        <v>511</v>
      </c>
      <c r="O20" s="388"/>
      <c r="P20" s="1295"/>
      <c r="Q20" s="1295"/>
    </row>
    <row r="21" spans="1:24" x14ac:dyDescent="0.2">
      <c r="A21" s="229"/>
      <c r="B21" s="230"/>
      <c r="C21" s="2390" t="s">
        <v>637</v>
      </c>
      <c r="D21" s="2390"/>
      <c r="E21" s="2390"/>
      <c r="F21" s="2390"/>
      <c r="G21" s="2390"/>
      <c r="H21" s="2390"/>
      <c r="I21" s="2390"/>
      <c r="J21" s="635">
        <f>ROUND(1.6*1.2,2)</f>
        <v>1.92</v>
      </c>
      <c r="K21" s="1312" t="s">
        <v>511</v>
      </c>
      <c r="L21" s="2416">
        <f t="shared" ref="L21:L23" si="6">ROUND(J21*69,2)</f>
        <v>132.47999999999999</v>
      </c>
      <c r="M21" s="2418"/>
      <c r="N21" s="1312" t="s">
        <v>511</v>
      </c>
      <c r="O21" s="388"/>
      <c r="P21" s="1295"/>
      <c r="Q21" s="1295"/>
    </row>
    <row r="22" spans="1:24" x14ac:dyDescent="0.2">
      <c r="A22" s="229"/>
      <c r="B22" s="230"/>
      <c r="C22" s="2390" t="s">
        <v>638</v>
      </c>
      <c r="D22" s="2390"/>
      <c r="E22" s="2390"/>
      <c r="F22" s="2390"/>
      <c r="G22" s="2390"/>
      <c r="H22" s="2390"/>
      <c r="I22" s="2390"/>
      <c r="J22" s="635">
        <f>ROUND(0.8*1.2,2)</f>
        <v>0.96</v>
      </c>
      <c r="K22" s="1312" t="s">
        <v>511</v>
      </c>
      <c r="L22" s="2416">
        <f t="shared" si="6"/>
        <v>66.239999999999995</v>
      </c>
      <c r="M22" s="2418"/>
      <c r="N22" s="1312" t="s">
        <v>511</v>
      </c>
      <c r="O22" s="388"/>
      <c r="P22" s="1295"/>
      <c r="Q22" s="1295"/>
    </row>
    <row r="23" spans="1:24" x14ac:dyDescent="0.2">
      <c r="A23" s="229"/>
      <c r="B23" s="230"/>
      <c r="C23" s="2390" t="s">
        <v>639</v>
      </c>
      <c r="D23" s="2390"/>
      <c r="E23" s="2390"/>
      <c r="F23" s="2390"/>
      <c r="G23" s="2390"/>
      <c r="H23" s="2390"/>
      <c r="I23" s="2390"/>
      <c r="J23" s="635">
        <f>ROUND(2.76*1.2,2)</f>
        <v>3.31</v>
      </c>
      <c r="K23" s="1312" t="s">
        <v>511</v>
      </c>
      <c r="L23" s="2416">
        <f t="shared" si="6"/>
        <v>228.39</v>
      </c>
      <c r="M23" s="2418"/>
      <c r="N23" s="1312" t="s">
        <v>511</v>
      </c>
      <c r="O23" s="388"/>
      <c r="P23" s="1295"/>
      <c r="Q23" s="1295"/>
    </row>
    <row r="24" spans="1:24" x14ac:dyDescent="0.2">
      <c r="A24" s="229"/>
      <c r="B24" s="230"/>
      <c r="C24" s="2421" t="s">
        <v>649</v>
      </c>
      <c r="D24" s="2422"/>
      <c r="E24" s="2422"/>
      <c r="F24" s="2422"/>
      <c r="G24" s="2422"/>
      <c r="H24" s="1315">
        <v>0</v>
      </c>
      <c r="I24" s="1316" t="s">
        <v>648</v>
      </c>
      <c r="J24" s="635">
        <f>ROUND(0.49*H24*1.2,2)</f>
        <v>0</v>
      </c>
      <c r="K24" s="1312" t="s">
        <v>511</v>
      </c>
      <c r="L24" s="2416">
        <f t="shared" ref="L24" si="7">ROUND(J24*69,2)</f>
        <v>0</v>
      </c>
      <c r="M24" s="2418"/>
      <c r="N24" s="1312" t="s">
        <v>511</v>
      </c>
      <c r="O24" s="388"/>
      <c r="P24" s="1295"/>
      <c r="Q24" s="1295"/>
    </row>
    <row r="25" spans="1:24" x14ac:dyDescent="0.2">
      <c r="A25" s="229"/>
      <c r="B25" s="230"/>
      <c r="C25" s="2390" t="s">
        <v>642</v>
      </c>
      <c r="D25" s="2390"/>
      <c r="E25" s="2390"/>
      <c r="F25" s="2390"/>
      <c r="G25" s="2390"/>
      <c r="H25" s="2390"/>
      <c r="I25" s="2390"/>
      <c r="J25" s="635"/>
      <c r="K25" s="1312" t="s">
        <v>511</v>
      </c>
      <c r="L25" s="2416">
        <f>ROUND(6.67*1.2,2)</f>
        <v>8</v>
      </c>
      <c r="M25" s="2418"/>
      <c r="N25" s="1312" t="s">
        <v>511</v>
      </c>
      <c r="O25" s="388"/>
      <c r="P25" s="1295"/>
      <c r="Q25" s="1295"/>
    </row>
    <row r="26" spans="1:24" x14ac:dyDescent="0.2">
      <c r="A26" s="229"/>
      <c r="B26" s="230"/>
      <c r="C26" s="2390" t="s">
        <v>643</v>
      </c>
      <c r="D26" s="2390"/>
      <c r="E26" s="2390"/>
      <c r="F26" s="2390"/>
      <c r="G26" s="2390"/>
      <c r="H26" s="2390"/>
      <c r="I26" s="2390"/>
      <c r="J26" s="635"/>
      <c r="K26" s="1312" t="s">
        <v>511</v>
      </c>
      <c r="L26" s="2416">
        <f>ROUND(3.63*1.2,2)</f>
        <v>4.3600000000000003</v>
      </c>
      <c r="M26" s="2418"/>
      <c r="N26" s="1312" t="s">
        <v>511</v>
      </c>
      <c r="O26" s="388"/>
      <c r="P26" s="1295"/>
      <c r="Q26" s="1295"/>
    </row>
    <row r="27" spans="1:24" x14ac:dyDescent="0.2">
      <c r="A27" s="229"/>
      <c r="B27" s="230"/>
      <c r="C27" s="2390" t="s">
        <v>644</v>
      </c>
      <c r="D27" s="2390"/>
      <c r="E27" s="2390"/>
      <c r="F27" s="2390"/>
      <c r="G27" s="2390"/>
      <c r="H27" s="2390"/>
      <c r="I27" s="2390"/>
      <c r="J27" s="635"/>
      <c r="K27" s="1312" t="s">
        <v>511</v>
      </c>
      <c r="L27" s="2416">
        <f>ROUND(20.03*1.2,2)</f>
        <v>24.04</v>
      </c>
      <c r="M27" s="2418"/>
      <c r="N27" s="1312" t="s">
        <v>511</v>
      </c>
      <c r="O27" s="388"/>
      <c r="P27" s="1295"/>
      <c r="Q27" s="1295"/>
      <c r="R27" s="2207"/>
      <c r="S27" s="2207"/>
      <c r="T27" s="2207"/>
      <c r="U27" s="2207"/>
      <c r="V27" s="2207"/>
      <c r="W27" s="2207"/>
      <c r="X27" s="2207"/>
    </row>
    <row r="28" spans="1:24" x14ac:dyDescent="0.2">
      <c r="A28" s="229"/>
      <c r="B28" s="230"/>
      <c r="C28" s="2390" t="s">
        <v>645</v>
      </c>
      <c r="D28" s="2390"/>
      <c r="E28" s="2390"/>
      <c r="F28" s="2390"/>
      <c r="G28" s="2390"/>
      <c r="H28" s="2390"/>
      <c r="I28" s="2390"/>
      <c r="J28" s="635"/>
      <c r="K28" s="1312" t="s">
        <v>511</v>
      </c>
      <c r="L28" s="2416">
        <f>ROUND(4.07*1.2,2)</f>
        <v>4.88</v>
      </c>
      <c r="M28" s="2418"/>
      <c r="N28" s="1312" t="s">
        <v>511</v>
      </c>
      <c r="O28" s="388"/>
      <c r="P28" s="1295"/>
      <c r="Q28" s="1295"/>
    </row>
    <row r="29" spans="1:24" x14ac:dyDescent="0.2">
      <c r="A29" s="229"/>
      <c r="B29" s="230"/>
      <c r="C29" s="2391" t="s">
        <v>256</v>
      </c>
      <c r="D29" s="2391"/>
      <c r="E29" s="2391"/>
      <c r="F29" s="2391"/>
      <c r="G29" s="2391"/>
      <c r="H29" s="2391"/>
      <c r="I29" s="2391"/>
      <c r="J29" s="1313">
        <f>L29/69</f>
        <v>9.5382608695652173</v>
      </c>
      <c r="K29" s="1314" t="s">
        <v>511</v>
      </c>
      <c r="L29" s="2419">
        <f>SUM(L20:M28)</f>
        <v>658.14</v>
      </c>
      <c r="M29" s="2420"/>
      <c r="N29" s="1314" t="s">
        <v>511</v>
      </c>
      <c r="O29" s="388"/>
      <c r="P29" s="1295"/>
      <c r="Q29" s="1295"/>
    </row>
    <row r="30" spans="1:24" x14ac:dyDescent="0.2">
      <c r="A30" s="229"/>
      <c r="B30" s="230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1295"/>
      <c r="Q30" s="1295"/>
    </row>
    <row r="31" spans="1:24" x14ac:dyDescent="0.2">
      <c r="A31" s="229"/>
      <c r="C31" s="2391" t="s">
        <v>646</v>
      </c>
      <c r="D31" s="2391"/>
      <c r="E31" s="2391"/>
      <c r="F31" s="2391"/>
      <c r="G31" s="2391"/>
      <c r="H31" s="2391"/>
      <c r="I31" s="2391"/>
      <c r="J31" s="1313"/>
      <c r="K31" s="1314"/>
      <c r="L31" s="2423">
        <f>J16</f>
        <v>313</v>
      </c>
      <c r="M31" s="2424"/>
      <c r="N31" s="1314" t="s">
        <v>647</v>
      </c>
      <c r="O31" s="388"/>
      <c r="P31" s="1295"/>
      <c r="Q31" s="1295"/>
    </row>
    <row r="32" spans="1:24" x14ac:dyDescent="0.2">
      <c r="A32" s="229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1295"/>
      <c r="Q32" s="1295"/>
    </row>
    <row r="33" spans="1:15" ht="33" customHeight="1" x14ac:dyDescent="0.2">
      <c r="A33" s="229"/>
      <c r="C33" s="2391" t="s">
        <v>859</v>
      </c>
      <c r="D33" s="2391"/>
      <c r="E33" s="2391"/>
      <c r="F33" s="2391"/>
      <c r="G33" s="2391"/>
      <c r="H33" s="2391"/>
      <c r="I33" s="2391"/>
      <c r="J33" s="1313"/>
      <c r="K33" s="1314"/>
      <c r="L33" s="2419">
        <f>ROUND(L31*L29,2)</f>
        <v>205997.82</v>
      </c>
      <c r="M33" s="2420"/>
      <c r="N33" s="1314" t="s">
        <v>511</v>
      </c>
      <c r="O33" s="1292"/>
    </row>
    <row r="34" spans="1:15" x14ac:dyDescent="0.2">
      <c r="A34" s="229"/>
      <c r="D34" s="1292"/>
      <c r="E34" s="1292"/>
      <c r="F34" s="1292"/>
      <c r="G34" s="1292"/>
      <c r="H34" s="1292"/>
      <c r="I34" s="1292"/>
      <c r="J34" s="1292"/>
      <c r="K34" s="1292"/>
      <c r="L34" s="1292"/>
      <c r="M34" s="1292"/>
      <c r="N34" s="1292"/>
      <c r="O34" s="1292"/>
    </row>
    <row r="35" spans="1:15" x14ac:dyDescent="0.2">
      <c r="A35" s="229"/>
      <c r="D35" s="1292"/>
      <c r="E35" s="1292"/>
      <c r="F35" s="1292"/>
      <c r="G35" s="1292"/>
      <c r="H35" s="1292"/>
      <c r="I35" s="1292"/>
      <c r="J35" s="1292"/>
      <c r="K35" s="1292"/>
      <c r="L35" s="1292"/>
      <c r="M35" s="1292"/>
      <c r="N35" s="1292"/>
      <c r="O35" s="1292"/>
    </row>
    <row r="36" spans="1:15" x14ac:dyDescent="0.2">
      <c r="A36" s="229"/>
      <c r="D36" s="1292"/>
      <c r="E36" s="1292"/>
      <c r="F36" s="1292"/>
      <c r="G36" s="1292"/>
      <c r="H36" s="1292"/>
      <c r="I36" s="1292"/>
      <c r="J36" s="1292"/>
      <c r="K36" s="1292"/>
      <c r="L36" s="1292"/>
      <c r="M36" s="1292"/>
      <c r="N36" s="1292"/>
      <c r="O36" s="1292"/>
    </row>
    <row r="37" spans="1:15" x14ac:dyDescent="0.2">
      <c r="A37" s="229"/>
      <c r="D37" s="1292"/>
      <c r="E37" s="1292"/>
      <c r="F37" s="1292"/>
      <c r="G37" s="1292"/>
      <c r="H37" s="1292"/>
      <c r="I37" s="1292"/>
      <c r="J37" s="1292"/>
      <c r="K37" s="1292"/>
      <c r="L37" s="1292"/>
      <c r="M37" s="1292"/>
      <c r="N37" s="1292"/>
      <c r="O37" s="1292"/>
    </row>
  </sheetData>
  <mergeCells count="39">
    <mergeCell ref="C33:I33"/>
    <mergeCell ref="L33:M33"/>
    <mergeCell ref="L24:M24"/>
    <mergeCell ref="C24:G24"/>
    <mergeCell ref="L29:M29"/>
    <mergeCell ref="C29:I29"/>
    <mergeCell ref="C31:I31"/>
    <mergeCell ref="L31:M31"/>
    <mergeCell ref="C28:I28"/>
    <mergeCell ref="C26:I26"/>
    <mergeCell ref="C27:I27"/>
    <mergeCell ref="R27:X27"/>
    <mergeCell ref="L27:M27"/>
    <mergeCell ref="L28:M28"/>
    <mergeCell ref="L22:M22"/>
    <mergeCell ref="L23:M23"/>
    <mergeCell ref="L25:M25"/>
    <mergeCell ref="L26:M26"/>
    <mergeCell ref="L20:M20"/>
    <mergeCell ref="L21:M21"/>
    <mergeCell ref="C20:I20"/>
    <mergeCell ref="C21:I21"/>
    <mergeCell ref="L19:N19"/>
    <mergeCell ref="C22:I22"/>
    <mergeCell ref="C23:I23"/>
    <mergeCell ref="C25:I25"/>
    <mergeCell ref="C19:I19"/>
    <mergeCell ref="A2:O2"/>
    <mergeCell ref="A12:C13"/>
    <mergeCell ref="D13:I13"/>
    <mergeCell ref="J4:O4"/>
    <mergeCell ref="J13:O13"/>
    <mergeCell ref="B4:B5"/>
    <mergeCell ref="A4:A5"/>
    <mergeCell ref="C4:C5"/>
    <mergeCell ref="D4:I4"/>
    <mergeCell ref="J16:O16"/>
    <mergeCell ref="D15:I16"/>
    <mergeCell ref="J19:K19"/>
  </mergeCells>
  <pageMargins left="0.47244094488188981" right="0.23622047244094491" top="0.74803149606299213" bottom="0.31496062992125984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71"/>
  <sheetViews>
    <sheetView tabSelected="1" zoomScale="55" zoomScaleNormal="55" zoomScaleSheetLayoutView="70" workbookViewId="0">
      <pane xSplit="2" ySplit="1" topLeftCell="C2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defaultRowHeight="12.75" x14ac:dyDescent="0.2"/>
  <cols>
    <col min="1" max="1" width="9.5703125" style="65" customWidth="1"/>
    <col min="2" max="2" width="106.7109375" style="249" customWidth="1"/>
    <col min="3" max="3" width="30.5703125" customWidth="1"/>
    <col min="4" max="10" width="5.7109375" customWidth="1"/>
  </cols>
  <sheetData>
    <row r="1" spans="1:3" s="1985" customFormat="1" ht="66" customHeight="1" thickBot="1" x14ac:dyDescent="0.35">
      <c r="A1" s="2427" t="s">
        <v>869</v>
      </c>
      <c r="B1" s="2428"/>
      <c r="C1" s="2429"/>
    </row>
    <row r="2" spans="1:3" s="1985" customFormat="1" ht="48.6" customHeight="1" x14ac:dyDescent="0.3">
      <c r="A2" s="1991"/>
      <c r="B2" s="1992" t="s">
        <v>864</v>
      </c>
      <c r="C2" s="1993" t="s">
        <v>865</v>
      </c>
    </row>
    <row r="3" spans="1:3" s="1985" customFormat="1" ht="24" customHeight="1" x14ac:dyDescent="0.3">
      <c r="A3" s="1987">
        <v>1</v>
      </c>
      <c r="B3" s="1989" t="s">
        <v>867</v>
      </c>
      <c r="C3" s="2425" t="s">
        <v>866</v>
      </c>
    </row>
    <row r="4" spans="1:3" s="1985" customFormat="1" ht="20.25" x14ac:dyDescent="0.3">
      <c r="A4" s="1987">
        <v>2</v>
      </c>
      <c r="B4" s="1989" t="s">
        <v>870</v>
      </c>
      <c r="C4" s="2425"/>
    </row>
    <row r="5" spans="1:3" s="1985" customFormat="1" ht="21" thickBot="1" x14ac:dyDescent="0.35">
      <c r="A5" s="1988">
        <v>3</v>
      </c>
      <c r="B5" s="1990" t="s">
        <v>868</v>
      </c>
      <c r="C5" s="2426"/>
    </row>
    <row r="6" spans="1:3" x14ac:dyDescent="0.2">
      <c r="A6" s="1986"/>
      <c r="B6" s="1986"/>
    </row>
    <row r="7" spans="1:3" x14ac:dyDescent="0.2">
      <c r="A7" s="1986"/>
      <c r="B7" s="1986"/>
    </row>
    <row r="8" spans="1:3" x14ac:dyDescent="0.2">
      <c r="A8" s="1986"/>
      <c r="B8" s="1986"/>
    </row>
    <row r="9" spans="1:3" x14ac:dyDescent="0.2">
      <c r="A9" s="1986"/>
      <c r="B9" s="1986"/>
    </row>
    <row r="10" spans="1:3" x14ac:dyDescent="0.2">
      <c r="A10" s="1986"/>
      <c r="B10" s="1986"/>
    </row>
    <row r="11" spans="1:3" x14ac:dyDescent="0.2">
      <c r="A11" s="1986"/>
      <c r="B11" s="1986"/>
    </row>
    <row r="12" spans="1:3" x14ac:dyDescent="0.2">
      <c r="A12" s="1986"/>
      <c r="B12" s="1986"/>
    </row>
    <row r="13" spans="1:3" x14ac:dyDescent="0.2">
      <c r="A13" s="1986"/>
      <c r="B13" s="1986"/>
    </row>
    <row r="14" spans="1:3" x14ac:dyDescent="0.2">
      <c r="A14" s="1986"/>
      <c r="B14" s="1986"/>
    </row>
    <row r="15" spans="1:3" x14ac:dyDescent="0.2">
      <c r="A15" s="1986"/>
      <c r="B15" s="1986"/>
    </row>
    <row r="16" spans="1:3" x14ac:dyDescent="0.2">
      <c r="A16" s="1986"/>
      <c r="B16" s="1986"/>
    </row>
    <row r="17" spans="1:2" x14ac:dyDescent="0.2">
      <c r="A17" s="1986"/>
      <c r="B17" s="1986"/>
    </row>
    <row r="18" spans="1:2" x14ac:dyDescent="0.2">
      <c r="A18" s="1986"/>
      <c r="B18" s="1986"/>
    </row>
    <row r="19" spans="1:2" x14ac:dyDescent="0.2">
      <c r="A19" s="1986"/>
      <c r="B19" s="1986"/>
    </row>
    <row r="20" spans="1:2" x14ac:dyDescent="0.2">
      <c r="A20" s="1986"/>
      <c r="B20" s="1986"/>
    </row>
    <row r="21" spans="1:2" x14ac:dyDescent="0.2">
      <c r="A21" s="1986"/>
      <c r="B21" s="1986"/>
    </row>
    <row r="22" spans="1:2" x14ac:dyDescent="0.2">
      <c r="A22" s="1986"/>
      <c r="B22" s="1986"/>
    </row>
    <row r="23" spans="1:2" x14ac:dyDescent="0.2">
      <c r="A23" s="1986"/>
      <c r="B23" s="1986"/>
    </row>
    <row r="24" spans="1:2" x14ac:dyDescent="0.2">
      <c r="A24" s="1986"/>
      <c r="B24" s="1986"/>
    </row>
    <row r="25" spans="1:2" x14ac:dyDescent="0.2">
      <c r="A25" s="1986"/>
      <c r="B25" s="1986"/>
    </row>
    <row r="26" spans="1:2" x14ac:dyDescent="0.2">
      <c r="A26" s="1986"/>
      <c r="B26" s="1986"/>
    </row>
    <row r="27" spans="1:2" x14ac:dyDescent="0.2">
      <c r="A27" s="1986"/>
      <c r="B27" s="1986"/>
    </row>
    <row r="28" spans="1:2" x14ac:dyDescent="0.2">
      <c r="A28" s="1986"/>
      <c r="B28" s="1986"/>
    </row>
    <row r="29" spans="1:2" x14ac:dyDescent="0.2">
      <c r="A29" s="1986"/>
      <c r="B29" s="1986"/>
    </row>
    <row r="30" spans="1:2" x14ac:dyDescent="0.2">
      <c r="A30" s="1986"/>
      <c r="B30" s="1986"/>
    </row>
    <row r="31" spans="1:2" x14ac:dyDescent="0.2">
      <c r="A31" s="1986"/>
      <c r="B31" s="1986"/>
    </row>
    <row r="32" spans="1:2" x14ac:dyDescent="0.2">
      <c r="A32" s="1986"/>
      <c r="B32" s="1986"/>
    </row>
    <row r="33" spans="1:2" x14ac:dyDescent="0.2">
      <c r="A33" s="1986"/>
      <c r="B33" s="1986"/>
    </row>
    <row r="34" spans="1:2" x14ac:dyDescent="0.2">
      <c r="A34" s="1986"/>
      <c r="B34" s="1986"/>
    </row>
    <row r="35" spans="1:2" x14ac:dyDescent="0.2">
      <c r="A35" s="1986"/>
      <c r="B35" s="1986"/>
    </row>
    <row r="36" spans="1:2" x14ac:dyDescent="0.2">
      <c r="A36" s="1986"/>
      <c r="B36" s="1986"/>
    </row>
    <row r="37" spans="1:2" x14ac:dyDescent="0.2">
      <c r="A37" s="1986"/>
      <c r="B37" s="1986"/>
    </row>
    <row r="38" spans="1:2" x14ac:dyDescent="0.2">
      <c r="A38" s="1986"/>
      <c r="B38" s="1986"/>
    </row>
    <row r="39" spans="1:2" x14ac:dyDescent="0.2">
      <c r="A39" s="1986"/>
      <c r="B39" s="1986"/>
    </row>
    <row r="40" spans="1:2" x14ac:dyDescent="0.2">
      <c r="A40" s="1986"/>
      <c r="B40" s="1986"/>
    </row>
    <row r="41" spans="1:2" x14ac:dyDescent="0.2">
      <c r="A41" s="1986"/>
      <c r="B41" s="1986"/>
    </row>
    <row r="42" spans="1:2" x14ac:dyDescent="0.2">
      <c r="A42" s="1986"/>
      <c r="B42" s="1986"/>
    </row>
    <row r="43" spans="1:2" x14ac:dyDescent="0.2">
      <c r="A43" s="1986"/>
      <c r="B43" s="1986"/>
    </row>
    <row r="44" spans="1:2" x14ac:dyDescent="0.2">
      <c r="A44" s="1986"/>
      <c r="B44" s="1986"/>
    </row>
    <row r="45" spans="1:2" x14ac:dyDescent="0.2">
      <c r="A45" s="1986"/>
      <c r="B45" s="1986"/>
    </row>
    <row r="46" spans="1:2" x14ac:dyDescent="0.2">
      <c r="A46" s="1986"/>
      <c r="B46" s="1986"/>
    </row>
    <row r="47" spans="1:2" x14ac:dyDescent="0.2">
      <c r="A47" s="1986"/>
      <c r="B47" s="1986"/>
    </row>
    <row r="48" spans="1:2" x14ac:dyDescent="0.2">
      <c r="A48" s="1986"/>
      <c r="B48" s="1986"/>
    </row>
    <row r="49" spans="1:2" x14ac:dyDescent="0.2">
      <c r="A49" s="1986"/>
      <c r="B49" s="1986"/>
    </row>
    <row r="50" spans="1:2" x14ac:dyDescent="0.2">
      <c r="A50" s="1986"/>
      <c r="B50" s="1986"/>
    </row>
    <row r="51" spans="1:2" x14ac:dyDescent="0.2">
      <c r="A51" s="1986"/>
      <c r="B51" s="1986"/>
    </row>
    <row r="52" spans="1:2" x14ac:dyDescent="0.2">
      <c r="A52" s="1986"/>
      <c r="B52" s="1986"/>
    </row>
    <row r="53" spans="1:2" x14ac:dyDescent="0.2">
      <c r="A53" s="1986"/>
      <c r="B53" s="1986"/>
    </row>
    <row r="54" spans="1:2" x14ac:dyDescent="0.2">
      <c r="A54" s="1986"/>
      <c r="B54" s="1986"/>
    </row>
    <row r="55" spans="1:2" x14ac:dyDescent="0.2">
      <c r="A55" s="1986"/>
      <c r="B55" s="1986"/>
    </row>
    <row r="56" spans="1:2" x14ac:dyDescent="0.2">
      <c r="A56" s="1986"/>
      <c r="B56" s="1986"/>
    </row>
    <row r="57" spans="1:2" x14ac:dyDescent="0.2">
      <c r="A57" s="1986"/>
      <c r="B57" s="1986"/>
    </row>
    <row r="58" spans="1:2" x14ac:dyDescent="0.2">
      <c r="A58" s="1986"/>
      <c r="B58" s="1986"/>
    </row>
    <row r="59" spans="1:2" x14ac:dyDescent="0.2">
      <c r="A59" s="1986"/>
      <c r="B59" s="1986"/>
    </row>
    <row r="60" spans="1:2" x14ac:dyDescent="0.2">
      <c r="A60" s="1986"/>
      <c r="B60" s="1986"/>
    </row>
    <row r="61" spans="1:2" x14ac:dyDescent="0.2">
      <c r="A61" s="1986"/>
      <c r="B61" s="1986"/>
    </row>
    <row r="62" spans="1:2" x14ac:dyDescent="0.2">
      <c r="A62" s="1986"/>
      <c r="B62" s="1986"/>
    </row>
    <row r="63" spans="1:2" x14ac:dyDescent="0.2">
      <c r="A63" s="1986"/>
      <c r="B63" s="1986"/>
    </row>
    <row r="64" spans="1:2" x14ac:dyDescent="0.2">
      <c r="A64" s="1986"/>
      <c r="B64" s="1986"/>
    </row>
    <row r="65" spans="1:2" x14ac:dyDescent="0.2">
      <c r="A65" s="1986"/>
      <c r="B65" s="1986"/>
    </row>
    <row r="66" spans="1:2" x14ac:dyDescent="0.2">
      <c r="A66" s="1986"/>
      <c r="B66" s="1986"/>
    </row>
    <row r="67" spans="1:2" x14ac:dyDescent="0.2">
      <c r="A67" s="1986"/>
      <c r="B67" s="1986"/>
    </row>
    <row r="68" spans="1:2" x14ac:dyDescent="0.2">
      <c r="A68" s="1986"/>
      <c r="B68" s="1986"/>
    </row>
    <row r="69" spans="1:2" x14ac:dyDescent="0.2">
      <c r="A69" s="1986"/>
      <c r="B69" s="1986"/>
    </row>
    <row r="70" spans="1:2" x14ac:dyDescent="0.2">
      <c r="A70" s="1986"/>
      <c r="B70" s="1986"/>
    </row>
    <row r="71" spans="1:2" x14ac:dyDescent="0.2">
      <c r="A71" s="1986"/>
      <c r="B71" s="1986"/>
    </row>
  </sheetData>
  <mergeCells count="2">
    <mergeCell ref="C3:C5"/>
    <mergeCell ref="A1:C1"/>
  </mergeCells>
  <pageMargins left="0.31496062992125984" right="0.78740157480314965" top="0.39370078740157483" bottom="0.31496062992125984" header="0.31496062992125984" footer="0.31496062992125984"/>
  <pageSetup paperSize="9" scale="76" fitToWidth="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65"/>
  <sheetViews>
    <sheetView topLeftCell="A7" zoomScale="55" zoomScaleNormal="55" workbookViewId="0">
      <selection activeCell="E33" sqref="E33"/>
    </sheetView>
  </sheetViews>
  <sheetFormatPr defaultRowHeight="18.75" x14ac:dyDescent="0.3"/>
  <cols>
    <col min="1" max="1" width="111.7109375" style="1654" customWidth="1"/>
    <col min="2" max="4" width="20.140625" style="1462" customWidth="1"/>
    <col min="5" max="7" width="20.140625" style="1656" customWidth="1"/>
    <col min="8" max="8" width="13" style="1647" customWidth="1"/>
    <col min="9" max="11" width="8.7109375" style="1462" customWidth="1"/>
    <col min="12" max="16" width="11.5703125" style="1462" customWidth="1"/>
    <col min="17" max="18" width="10.5703125" style="1462" customWidth="1"/>
    <col min="19" max="19" width="10.5703125" style="1462" hidden="1" customWidth="1"/>
    <col min="20" max="22" width="10.5703125" style="1653" customWidth="1"/>
    <col min="23" max="23" width="59.7109375" style="1653" customWidth="1"/>
    <col min="24" max="24" width="5" style="1643" customWidth="1"/>
    <col min="25" max="27" width="21.140625" style="1670" customWidth="1"/>
    <col min="28" max="28" width="16.140625" style="1435" customWidth="1"/>
    <col min="29" max="29" width="14.140625" style="1436" customWidth="1"/>
    <col min="30" max="30" width="13.140625" style="1436" customWidth="1"/>
    <col min="31" max="31" width="22.42578125" style="1431" customWidth="1"/>
    <col min="32" max="32" width="22" style="1437" customWidth="1"/>
    <col min="33" max="33" width="2.7109375" style="1431" customWidth="1"/>
    <col min="34" max="34" width="16.42578125" style="1431" bestFit="1" customWidth="1"/>
    <col min="35" max="36" width="22" style="1437" customWidth="1"/>
    <col min="37" max="37" width="21" style="1431" customWidth="1"/>
    <col min="38" max="38" width="15.140625" style="527" customWidth="1"/>
    <col min="39" max="39" width="17.42578125" style="527" customWidth="1"/>
    <col min="40" max="40" width="19.42578125" style="527" customWidth="1"/>
    <col min="41" max="259" width="9.140625" style="527"/>
    <col min="260" max="260" width="111.7109375" style="527" customWidth="1"/>
    <col min="261" max="263" width="0" style="527" hidden="1" customWidth="1"/>
    <col min="264" max="266" width="20.140625" style="527" customWidth="1"/>
    <col min="267" max="267" width="13" style="527" customWidth="1"/>
    <col min="268" max="270" width="8.7109375" style="527" customWidth="1"/>
    <col min="271" max="272" width="11.5703125" style="527" customWidth="1"/>
    <col min="273" max="273" width="0" style="527" hidden="1" customWidth="1"/>
    <col min="274" max="275" width="11.5703125" style="527" customWidth="1"/>
    <col min="276" max="277" width="10.5703125" style="527" customWidth="1"/>
    <col min="278" max="278" width="0" style="527" hidden="1" customWidth="1"/>
    <col min="279" max="281" width="10.5703125" style="527" customWidth="1"/>
    <col min="282" max="282" width="59.7109375" style="527" customWidth="1"/>
    <col min="283" max="283" width="5" style="527" customWidth="1"/>
    <col min="284" max="284" width="16.140625" style="527" customWidth="1"/>
    <col min="285" max="285" width="14.140625" style="527" customWidth="1"/>
    <col min="286" max="286" width="13.140625" style="527" customWidth="1"/>
    <col min="287" max="287" width="22.42578125" style="527" customWidth="1"/>
    <col min="288" max="288" width="22" style="527" customWidth="1"/>
    <col min="289" max="289" width="2.7109375" style="527" customWidth="1"/>
    <col min="290" max="290" width="16.42578125" style="527" bestFit="1" customWidth="1"/>
    <col min="291" max="292" width="22" style="527" customWidth="1"/>
    <col min="293" max="293" width="21" style="527" customWidth="1"/>
    <col min="294" max="294" width="15.140625" style="527" customWidth="1"/>
    <col min="295" max="295" width="17.42578125" style="527" customWidth="1"/>
    <col min="296" max="296" width="19.42578125" style="527" customWidth="1"/>
    <col min="297" max="515" width="9.140625" style="527"/>
    <col min="516" max="516" width="111.7109375" style="527" customWidth="1"/>
    <col min="517" max="519" width="0" style="527" hidden="1" customWidth="1"/>
    <col min="520" max="522" width="20.140625" style="527" customWidth="1"/>
    <col min="523" max="523" width="13" style="527" customWidth="1"/>
    <col min="524" max="526" width="8.7109375" style="527" customWidth="1"/>
    <col min="527" max="528" width="11.5703125" style="527" customWidth="1"/>
    <col min="529" max="529" width="0" style="527" hidden="1" customWidth="1"/>
    <col min="530" max="531" width="11.5703125" style="527" customWidth="1"/>
    <col min="532" max="533" width="10.5703125" style="527" customWidth="1"/>
    <col min="534" max="534" width="0" style="527" hidden="1" customWidth="1"/>
    <col min="535" max="537" width="10.5703125" style="527" customWidth="1"/>
    <col min="538" max="538" width="59.7109375" style="527" customWidth="1"/>
    <col min="539" max="539" width="5" style="527" customWidth="1"/>
    <col min="540" max="540" width="16.140625" style="527" customWidth="1"/>
    <col min="541" max="541" width="14.140625" style="527" customWidth="1"/>
    <col min="542" max="542" width="13.140625" style="527" customWidth="1"/>
    <col min="543" max="543" width="22.42578125" style="527" customWidth="1"/>
    <col min="544" max="544" width="22" style="527" customWidth="1"/>
    <col min="545" max="545" width="2.7109375" style="527" customWidth="1"/>
    <col min="546" max="546" width="16.42578125" style="527" bestFit="1" customWidth="1"/>
    <col min="547" max="548" width="22" style="527" customWidth="1"/>
    <col min="549" max="549" width="21" style="527" customWidth="1"/>
    <col min="550" max="550" width="15.140625" style="527" customWidth="1"/>
    <col min="551" max="551" width="17.42578125" style="527" customWidth="1"/>
    <col min="552" max="552" width="19.42578125" style="527" customWidth="1"/>
    <col min="553" max="771" width="9.140625" style="527"/>
    <col min="772" max="772" width="111.7109375" style="527" customWidth="1"/>
    <col min="773" max="775" width="0" style="527" hidden="1" customWidth="1"/>
    <col min="776" max="778" width="20.140625" style="527" customWidth="1"/>
    <col min="779" max="779" width="13" style="527" customWidth="1"/>
    <col min="780" max="782" width="8.7109375" style="527" customWidth="1"/>
    <col min="783" max="784" width="11.5703125" style="527" customWidth="1"/>
    <col min="785" max="785" width="0" style="527" hidden="1" customWidth="1"/>
    <col min="786" max="787" width="11.5703125" style="527" customWidth="1"/>
    <col min="788" max="789" width="10.5703125" style="527" customWidth="1"/>
    <col min="790" max="790" width="0" style="527" hidden="1" customWidth="1"/>
    <col min="791" max="793" width="10.5703125" style="527" customWidth="1"/>
    <col min="794" max="794" width="59.7109375" style="527" customWidth="1"/>
    <col min="795" max="795" width="5" style="527" customWidth="1"/>
    <col min="796" max="796" width="16.140625" style="527" customWidth="1"/>
    <col min="797" max="797" width="14.140625" style="527" customWidth="1"/>
    <col min="798" max="798" width="13.140625" style="527" customWidth="1"/>
    <col min="799" max="799" width="22.42578125" style="527" customWidth="1"/>
    <col min="800" max="800" width="22" style="527" customWidth="1"/>
    <col min="801" max="801" width="2.7109375" style="527" customWidth="1"/>
    <col min="802" max="802" width="16.42578125" style="527" bestFit="1" customWidth="1"/>
    <col min="803" max="804" width="22" style="527" customWidth="1"/>
    <col min="805" max="805" width="21" style="527" customWidth="1"/>
    <col min="806" max="806" width="15.140625" style="527" customWidth="1"/>
    <col min="807" max="807" width="17.42578125" style="527" customWidth="1"/>
    <col min="808" max="808" width="19.42578125" style="527" customWidth="1"/>
    <col min="809" max="1027" width="9.140625" style="527"/>
    <col min="1028" max="1028" width="111.7109375" style="527" customWidth="1"/>
    <col min="1029" max="1031" width="0" style="527" hidden="1" customWidth="1"/>
    <col min="1032" max="1034" width="20.140625" style="527" customWidth="1"/>
    <col min="1035" max="1035" width="13" style="527" customWidth="1"/>
    <col min="1036" max="1038" width="8.7109375" style="527" customWidth="1"/>
    <col min="1039" max="1040" width="11.5703125" style="527" customWidth="1"/>
    <col min="1041" max="1041" width="0" style="527" hidden="1" customWidth="1"/>
    <col min="1042" max="1043" width="11.5703125" style="527" customWidth="1"/>
    <col min="1044" max="1045" width="10.5703125" style="527" customWidth="1"/>
    <col min="1046" max="1046" width="0" style="527" hidden="1" customWidth="1"/>
    <col min="1047" max="1049" width="10.5703125" style="527" customWidth="1"/>
    <col min="1050" max="1050" width="59.7109375" style="527" customWidth="1"/>
    <col min="1051" max="1051" width="5" style="527" customWidth="1"/>
    <col min="1052" max="1052" width="16.140625" style="527" customWidth="1"/>
    <col min="1053" max="1053" width="14.140625" style="527" customWidth="1"/>
    <col min="1054" max="1054" width="13.140625" style="527" customWidth="1"/>
    <col min="1055" max="1055" width="22.42578125" style="527" customWidth="1"/>
    <col min="1056" max="1056" width="22" style="527" customWidth="1"/>
    <col min="1057" max="1057" width="2.7109375" style="527" customWidth="1"/>
    <col min="1058" max="1058" width="16.42578125" style="527" bestFit="1" customWidth="1"/>
    <col min="1059" max="1060" width="22" style="527" customWidth="1"/>
    <col min="1061" max="1061" width="21" style="527" customWidth="1"/>
    <col min="1062" max="1062" width="15.140625" style="527" customWidth="1"/>
    <col min="1063" max="1063" width="17.42578125" style="527" customWidth="1"/>
    <col min="1064" max="1064" width="19.42578125" style="527" customWidth="1"/>
    <col min="1065" max="1283" width="9.140625" style="527"/>
    <col min="1284" max="1284" width="111.7109375" style="527" customWidth="1"/>
    <col min="1285" max="1287" width="0" style="527" hidden="1" customWidth="1"/>
    <col min="1288" max="1290" width="20.140625" style="527" customWidth="1"/>
    <col min="1291" max="1291" width="13" style="527" customWidth="1"/>
    <col min="1292" max="1294" width="8.7109375" style="527" customWidth="1"/>
    <col min="1295" max="1296" width="11.5703125" style="527" customWidth="1"/>
    <col min="1297" max="1297" width="0" style="527" hidden="1" customWidth="1"/>
    <col min="1298" max="1299" width="11.5703125" style="527" customWidth="1"/>
    <col min="1300" max="1301" width="10.5703125" style="527" customWidth="1"/>
    <col min="1302" max="1302" width="0" style="527" hidden="1" customWidth="1"/>
    <col min="1303" max="1305" width="10.5703125" style="527" customWidth="1"/>
    <col min="1306" max="1306" width="59.7109375" style="527" customWidth="1"/>
    <col min="1307" max="1307" width="5" style="527" customWidth="1"/>
    <col min="1308" max="1308" width="16.140625" style="527" customWidth="1"/>
    <col min="1309" max="1309" width="14.140625" style="527" customWidth="1"/>
    <col min="1310" max="1310" width="13.140625" style="527" customWidth="1"/>
    <col min="1311" max="1311" width="22.42578125" style="527" customWidth="1"/>
    <col min="1312" max="1312" width="22" style="527" customWidth="1"/>
    <col min="1313" max="1313" width="2.7109375" style="527" customWidth="1"/>
    <col min="1314" max="1314" width="16.42578125" style="527" bestFit="1" customWidth="1"/>
    <col min="1315" max="1316" width="22" style="527" customWidth="1"/>
    <col min="1317" max="1317" width="21" style="527" customWidth="1"/>
    <col min="1318" max="1318" width="15.140625" style="527" customWidth="1"/>
    <col min="1319" max="1319" width="17.42578125" style="527" customWidth="1"/>
    <col min="1320" max="1320" width="19.42578125" style="527" customWidth="1"/>
    <col min="1321" max="1539" width="9.140625" style="527"/>
    <col min="1540" max="1540" width="111.7109375" style="527" customWidth="1"/>
    <col min="1541" max="1543" width="0" style="527" hidden="1" customWidth="1"/>
    <col min="1544" max="1546" width="20.140625" style="527" customWidth="1"/>
    <col min="1547" max="1547" width="13" style="527" customWidth="1"/>
    <col min="1548" max="1550" width="8.7109375" style="527" customWidth="1"/>
    <col min="1551" max="1552" width="11.5703125" style="527" customWidth="1"/>
    <col min="1553" max="1553" width="0" style="527" hidden="1" customWidth="1"/>
    <col min="1554" max="1555" width="11.5703125" style="527" customWidth="1"/>
    <col min="1556" max="1557" width="10.5703125" style="527" customWidth="1"/>
    <col min="1558" max="1558" width="0" style="527" hidden="1" customWidth="1"/>
    <col min="1559" max="1561" width="10.5703125" style="527" customWidth="1"/>
    <col min="1562" max="1562" width="59.7109375" style="527" customWidth="1"/>
    <col min="1563" max="1563" width="5" style="527" customWidth="1"/>
    <col min="1564" max="1564" width="16.140625" style="527" customWidth="1"/>
    <col min="1565" max="1565" width="14.140625" style="527" customWidth="1"/>
    <col min="1566" max="1566" width="13.140625" style="527" customWidth="1"/>
    <col min="1567" max="1567" width="22.42578125" style="527" customWidth="1"/>
    <col min="1568" max="1568" width="22" style="527" customWidth="1"/>
    <col min="1569" max="1569" width="2.7109375" style="527" customWidth="1"/>
    <col min="1570" max="1570" width="16.42578125" style="527" bestFit="1" customWidth="1"/>
    <col min="1571" max="1572" width="22" style="527" customWidth="1"/>
    <col min="1573" max="1573" width="21" style="527" customWidth="1"/>
    <col min="1574" max="1574" width="15.140625" style="527" customWidth="1"/>
    <col min="1575" max="1575" width="17.42578125" style="527" customWidth="1"/>
    <col min="1576" max="1576" width="19.42578125" style="527" customWidth="1"/>
    <col min="1577" max="1795" width="9.140625" style="527"/>
    <col min="1796" max="1796" width="111.7109375" style="527" customWidth="1"/>
    <col min="1797" max="1799" width="0" style="527" hidden="1" customWidth="1"/>
    <col min="1800" max="1802" width="20.140625" style="527" customWidth="1"/>
    <col min="1803" max="1803" width="13" style="527" customWidth="1"/>
    <col min="1804" max="1806" width="8.7109375" style="527" customWidth="1"/>
    <col min="1807" max="1808" width="11.5703125" style="527" customWidth="1"/>
    <col min="1809" max="1809" width="0" style="527" hidden="1" customWidth="1"/>
    <col min="1810" max="1811" width="11.5703125" style="527" customWidth="1"/>
    <col min="1812" max="1813" width="10.5703125" style="527" customWidth="1"/>
    <col min="1814" max="1814" width="0" style="527" hidden="1" customWidth="1"/>
    <col min="1815" max="1817" width="10.5703125" style="527" customWidth="1"/>
    <col min="1818" max="1818" width="59.7109375" style="527" customWidth="1"/>
    <col min="1819" max="1819" width="5" style="527" customWidth="1"/>
    <col min="1820" max="1820" width="16.140625" style="527" customWidth="1"/>
    <col min="1821" max="1821" width="14.140625" style="527" customWidth="1"/>
    <col min="1822" max="1822" width="13.140625" style="527" customWidth="1"/>
    <col min="1823" max="1823" width="22.42578125" style="527" customWidth="1"/>
    <col min="1824" max="1824" width="22" style="527" customWidth="1"/>
    <col min="1825" max="1825" width="2.7109375" style="527" customWidth="1"/>
    <col min="1826" max="1826" width="16.42578125" style="527" bestFit="1" customWidth="1"/>
    <col min="1827" max="1828" width="22" style="527" customWidth="1"/>
    <col min="1829" max="1829" width="21" style="527" customWidth="1"/>
    <col min="1830" max="1830" width="15.140625" style="527" customWidth="1"/>
    <col min="1831" max="1831" width="17.42578125" style="527" customWidth="1"/>
    <col min="1832" max="1832" width="19.42578125" style="527" customWidth="1"/>
    <col min="1833" max="2051" width="9.140625" style="527"/>
    <col min="2052" max="2052" width="111.7109375" style="527" customWidth="1"/>
    <col min="2053" max="2055" width="0" style="527" hidden="1" customWidth="1"/>
    <col min="2056" max="2058" width="20.140625" style="527" customWidth="1"/>
    <col min="2059" max="2059" width="13" style="527" customWidth="1"/>
    <col min="2060" max="2062" width="8.7109375" style="527" customWidth="1"/>
    <col min="2063" max="2064" width="11.5703125" style="527" customWidth="1"/>
    <col min="2065" max="2065" width="0" style="527" hidden="1" customWidth="1"/>
    <col min="2066" max="2067" width="11.5703125" style="527" customWidth="1"/>
    <col min="2068" max="2069" width="10.5703125" style="527" customWidth="1"/>
    <col min="2070" max="2070" width="0" style="527" hidden="1" customWidth="1"/>
    <col min="2071" max="2073" width="10.5703125" style="527" customWidth="1"/>
    <col min="2074" max="2074" width="59.7109375" style="527" customWidth="1"/>
    <col min="2075" max="2075" width="5" style="527" customWidth="1"/>
    <col min="2076" max="2076" width="16.140625" style="527" customWidth="1"/>
    <col min="2077" max="2077" width="14.140625" style="527" customWidth="1"/>
    <col min="2078" max="2078" width="13.140625" style="527" customWidth="1"/>
    <col min="2079" max="2079" width="22.42578125" style="527" customWidth="1"/>
    <col min="2080" max="2080" width="22" style="527" customWidth="1"/>
    <col min="2081" max="2081" width="2.7109375" style="527" customWidth="1"/>
    <col min="2082" max="2082" width="16.42578125" style="527" bestFit="1" customWidth="1"/>
    <col min="2083" max="2084" width="22" style="527" customWidth="1"/>
    <col min="2085" max="2085" width="21" style="527" customWidth="1"/>
    <col min="2086" max="2086" width="15.140625" style="527" customWidth="1"/>
    <col min="2087" max="2087" width="17.42578125" style="527" customWidth="1"/>
    <col min="2088" max="2088" width="19.42578125" style="527" customWidth="1"/>
    <col min="2089" max="2307" width="9.140625" style="527"/>
    <col min="2308" max="2308" width="111.7109375" style="527" customWidth="1"/>
    <col min="2309" max="2311" width="0" style="527" hidden="1" customWidth="1"/>
    <col min="2312" max="2314" width="20.140625" style="527" customWidth="1"/>
    <col min="2315" max="2315" width="13" style="527" customWidth="1"/>
    <col min="2316" max="2318" width="8.7109375" style="527" customWidth="1"/>
    <col min="2319" max="2320" width="11.5703125" style="527" customWidth="1"/>
    <col min="2321" max="2321" width="0" style="527" hidden="1" customWidth="1"/>
    <col min="2322" max="2323" width="11.5703125" style="527" customWidth="1"/>
    <col min="2324" max="2325" width="10.5703125" style="527" customWidth="1"/>
    <col min="2326" max="2326" width="0" style="527" hidden="1" customWidth="1"/>
    <col min="2327" max="2329" width="10.5703125" style="527" customWidth="1"/>
    <col min="2330" max="2330" width="59.7109375" style="527" customWidth="1"/>
    <col min="2331" max="2331" width="5" style="527" customWidth="1"/>
    <col min="2332" max="2332" width="16.140625" style="527" customWidth="1"/>
    <col min="2333" max="2333" width="14.140625" style="527" customWidth="1"/>
    <col min="2334" max="2334" width="13.140625" style="527" customWidth="1"/>
    <col min="2335" max="2335" width="22.42578125" style="527" customWidth="1"/>
    <col min="2336" max="2336" width="22" style="527" customWidth="1"/>
    <col min="2337" max="2337" width="2.7109375" style="527" customWidth="1"/>
    <col min="2338" max="2338" width="16.42578125" style="527" bestFit="1" customWidth="1"/>
    <col min="2339" max="2340" width="22" style="527" customWidth="1"/>
    <col min="2341" max="2341" width="21" style="527" customWidth="1"/>
    <col min="2342" max="2342" width="15.140625" style="527" customWidth="1"/>
    <col min="2343" max="2343" width="17.42578125" style="527" customWidth="1"/>
    <col min="2344" max="2344" width="19.42578125" style="527" customWidth="1"/>
    <col min="2345" max="2563" width="9.140625" style="527"/>
    <col min="2564" max="2564" width="111.7109375" style="527" customWidth="1"/>
    <col min="2565" max="2567" width="0" style="527" hidden="1" customWidth="1"/>
    <col min="2568" max="2570" width="20.140625" style="527" customWidth="1"/>
    <col min="2571" max="2571" width="13" style="527" customWidth="1"/>
    <col min="2572" max="2574" width="8.7109375" style="527" customWidth="1"/>
    <col min="2575" max="2576" width="11.5703125" style="527" customWidth="1"/>
    <col min="2577" max="2577" width="0" style="527" hidden="1" customWidth="1"/>
    <col min="2578" max="2579" width="11.5703125" style="527" customWidth="1"/>
    <col min="2580" max="2581" width="10.5703125" style="527" customWidth="1"/>
    <col min="2582" max="2582" width="0" style="527" hidden="1" customWidth="1"/>
    <col min="2583" max="2585" width="10.5703125" style="527" customWidth="1"/>
    <col min="2586" max="2586" width="59.7109375" style="527" customWidth="1"/>
    <col min="2587" max="2587" width="5" style="527" customWidth="1"/>
    <col min="2588" max="2588" width="16.140625" style="527" customWidth="1"/>
    <col min="2589" max="2589" width="14.140625" style="527" customWidth="1"/>
    <col min="2590" max="2590" width="13.140625" style="527" customWidth="1"/>
    <col min="2591" max="2591" width="22.42578125" style="527" customWidth="1"/>
    <col min="2592" max="2592" width="22" style="527" customWidth="1"/>
    <col min="2593" max="2593" width="2.7109375" style="527" customWidth="1"/>
    <col min="2594" max="2594" width="16.42578125" style="527" bestFit="1" customWidth="1"/>
    <col min="2595" max="2596" width="22" style="527" customWidth="1"/>
    <col min="2597" max="2597" width="21" style="527" customWidth="1"/>
    <col min="2598" max="2598" width="15.140625" style="527" customWidth="1"/>
    <col min="2599" max="2599" width="17.42578125" style="527" customWidth="1"/>
    <col min="2600" max="2600" width="19.42578125" style="527" customWidth="1"/>
    <col min="2601" max="2819" width="9.140625" style="527"/>
    <col min="2820" max="2820" width="111.7109375" style="527" customWidth="1"/>
    <col min="2821" max="2823" width="0" style="527" hidden="1" customWidth="1"/>
    <col min="2824" max="2826" width="20.140625" style="527" customWidth="1"/>
    <col min="2827" max="2827" width="13" style="527" customWidth="1"/>
    <col min="2828" max="2830" width="8.7109375" style="527" customWidth="1"/>
    <col min="2831" max="2832" width="11.5703125" style="527" customWidth="1"/>
    <col min="2833" max="2833" width="0" style="527" hidden="1" customWidth="1"/>
    <col min="2834" max="2835" width="11.5703125" style="527" customWidth="1"/>
    <col min="2836" max="2837" width="10.5703125" style="527" customWidth="1"/>
    <col min="2838" max="2838" width="0" style="527" hidden="1" customWidth="1"/>
    <col min="2839" max="2841" width="10.5703125" style="527" customWidth="1"/>
    <col min="2842" max="2842" width="59.7109375" style="527" customWidth="1"/>
    <col min="2843" max="2843" width="5" style="527" customWidth="1"/>
    <col min="2844" max="2844" width="16.140625" style="527" customWidth="1"/>
    <col min="2845" max="2845" width="14.140625" style="527" customWidth="1"/>
    <col min="2846" max="2846" width="13.140625" style="527" customWidth="1"/>
    <col min="2847" max="2847" width="22.42578125" style="527" customWidth="1"/>
    <col min="2848" max="2848" width="22" style="527" customWidth="1"/>
    <col min="2849" max="2849" width="2.7109375" style="527" customWidth="1"/>
    <col min="2850" max="2850" width="16.42578125" style="527" bestFit="1" customWidth="1"/>
    <col min="2851" max="2852" width="22" style="527" customWidth="1"/>
    <col min="2853" max="2853" width="21" style="527" customWidth="1"/>
    <col min="2854" max="2854" width="15.140625" style="527" customWidth="1"/>
    <col min="2855" max="2855" width="17.42578125" style="527" customWidth="1"/>
    <col min="2856" max="2856" width="19.42578125" style="527" customWidth="1"/>
    <col min="2857" max="3075" width="9.140625" style="527"/>
    <col min="3076" max="3076" width="111.7109375" style="527" customWidth="1"/>
    <col min="3077" max="3079" width="0" style="527" hidden="1" customWidth="1"/>
    <col min="3080" max="3082" width="20.140625" style="527" customWidth="1"/>
    <col min="3083" max="3083" width="13" style="527" customWidth="1"/>
    <col min="3084" max="3086" width="8.7109375" style="527" customWidth="1"/>
    <col min="3087" max="3088" width="11.5703125" style="527" customWidth="1"/>
    <col min="3089" max="3089" width="0" style="527" hidden="1" customWidth="1"/>
    <col min="3090" max="3091" width="11.5703125" style="527" customWidth="1"/>
    <col min="3092" max="3093" width="10.5703125" style="527" customWidth="1"/>
    <col min="3094" max="3094" width="0" style="527" hidden="1" customWidth="1"/>
    <col min="3095" max="3097" width="10.5703125" style="527" customWidth="1"/>
    <col min="3098" max="3098" width="59.7109375" style="527" customWidth="1"/>
    <col min="3099" max="3099" width="5" style="527" customWidth="1"/>
    <col min="3100" max="3100" width="16.140625" style="527" customWidth="1"/>
    <col min="3101" max="3101" width="14.140625" style="527" customWidth="1"/>
    <col min="3102" max="3102" width="13.140625" style="527" customWidth="1"/>
    <col min="3103" max="3103" width="22.42578125" style="527" customWidth="1"/>
    <col min="3104" max="3104" width="22" style="527" customWidth="1"/>
    <col min="3105" max="3105" width="2.7109375" style="527" customWidth="1"/>
    <col min="3106" max="3106" width="16.42578125" style="527" bestFit="1" customWidth="1"/>
    <col min="3107" max="3108" width="22" style="527" customWidth="1"/>
    <col min="3109" max="3109" width="21" style="527" customWidth="1"/>
    <col min="3110" max="3110" width="15.140625" style="527" customWidth="1"/>
    <col min="3111" max="3111" width="17.42578125" style="527" customWidth="1"/>
    <col min="3112" max="3112" width="19.42578125" style="527" customWidth="1"/>
    <col min="3113" max="3331" width="9.140625" style="527"/>
    <col min="3332" max="3332" width="111.7109375" style="527" customWidth="1"/>
    <col min="3333" max="3335" width="0" style="527" hidden="1" customWidth="1"/>
    <col min="3336" max="3338" width="20.140625" style="527" customWidth="1"/>
    <col min="3339" max="3339" width="13" style="527" customWidth="1"/>
    <col min="3340" max="3342" width="8.7109375" style="527" customWidth="1"/>
    <col min="3343" max="3344" width="11.5703125" style="527" customWidth="1"/>
    <col min="3345" max="3345" width="0" style="527" hidden="1" customWidth="1"/>
    <col min="3346" max="3347" width="11.5703125" style="527" customWidth="1"/>
    <col min="3348" max="3349" width="10.5703125" style="527" customWidth="1"/>
    <col min="3350" max="3350" width="0" style="527" hidden="1" customWidth="1"/>
    <col min="3351" max="3353" width="10.5703125" style="527" customWidth="1"/>
    <col min="3354" max="3354" width="59.7109375" style="527" customWidth="1"/>
    <col min="3355" max="3355" width="5" style="527" customWidth="1"/>
    <col min="3356" max="3356" width="16.140625" style="527" customWidth="1"/>
    <col min="3357" max="3357" width="14.140625" style="527" customWidth="1"/>
    <col min="3358" max="3358" width="13.140625" style="527" customWidth="1"/>
    <col min="3359" max="3359" width="22.42578125" style="527" customWidth="1"/>
    <col min="3360" max="3360" width="22" style="527" customWidth="1"/>
    <col min="3361" max="3361" width="2.7109375" style="527" customWidth="1"/>
    <col min="3362" max="3362" width="16.42578125" style="527" bestFit="1" customWidth="1"/>
    <col min="3363" max="3364" width="22" style="527" customWidth="1"/>
    <col min="3365" max="3365" width="21" style="527" customWidth="1"/>
    <col min="3366" max="3366" width="15.140625" style="527" customWidth="1"/>
    <col min="3367" max="3367" width="17.42578125" style="527" customWidth="1"/>
    <col min="3368" max="3368" width="19.42578125" style="527" customWidth="1"/>
    <col min="3369" max="3587" width="9.140625" style="527"/>
    <col min="3588" max="3588" width="111.7109375" style="527" customWidth="1"/>
    <col min="3589" max="3591" width="0" style="527" hidden="1" customWidth="1"/>
    <col min="3592" max="3594" width="20.140625" style="527" customWidth="1"/>
    <col min="3595" max="3595" width="13" style="527" customWidth="1"/>
    <col min="3596" max="3598" width="8.7109375" style="527" customWidth="1"/>
    <col min="3599" max="3600" width="11.5703125" style="527" customWidth="1"/>
    <col min="3601" max="3601" width="0" style="527" hidden="1" customWidth="1"/>
    <col min="3602" max="3603" width="11.5703125" style="527" customWidth="1"/>
    <col min="3604" max="3605" width="10.5703125" style="527" customWidth="1"/>
    <col min="3606" max="3606" width="0" style="527" hidden="1" customWidth="1"/>
    <col min="3607" max="3609" width="10.5703125" style="527" customWidth="1"/>
    <col min="3610" max="3610" width="59.7109375" style="527" customWidth="1"/>
    <col min="3611" max="3611" width="5" style="527" customWidth="1"/>
    <col min="3612" max="3612" width="16.140625" style="527" customWidth="1"/>
    <col min="3613" max="3613" width="14.140625" style="527" customWidth="1"/>
    <col min="3614" max="3614" width="13.140625" style="527" customWidth="1"/>
    <col min="3615" max="3615" width="22.42578125" style="527" customWidth="1"/>
    <col min="3616" max="3616" width="22" style="527" customWidth="1"/>
    <col min="3617" max="3617" width="2.7109375" style="527" customWidth="1"/>
    <col min="3618" max="3618" width="16.42578125" style="527" bestFit="1" customWidth="1"/>
    <col min="3619" max="3620" width="22" style="527" customWidth="1"/>
    <col min="3621" max="3621" width="21" style="527" customWidth="1"/>
    <col min="3622" max="3622" width="15.140625" style="527" customWidth="1"/>
    <col min="3623" max="3623" width="17.42578125" style="527" customWidth="1"/>
    <col min="3624" max="3624" width="19.42578125" style="527" customWidth="1"/>
    <col min="3625" max="3843" width="9.140625" style="527"/>
    <col min="3844" max="3844" width="111.7109375" style="527" customWidth="1"/>
    <col min="3845" max="3847" width="0" style="527" hidden="1" customWidth="1"/>
    <col min="3848" max="3850" width="20.140625" style="527" customWidth="1"/>
    <col min="3851" max="3851" width="13" style="527" customWidth="1"/>
    <col min="3852" max="3854" width="8.7109375" style="527" customWidth="1"/>
    <col min="3855" max="3856" width="11.5703125" style="527" customWidth="1"/>
    <col min="3857" max="3857" width="0" style="527" hidden="1" customWidth="1"/>
    <col min="3858" max="3859" width="11.5703125" style="527" customWidth="1"/>
    <col min="3860" max="3861" width="10.5703125" style="527" customWidth="1"/>
    <col min="3862" max="3862" width="0" style="527" hidden="1" customWidth="1"/>
    <col min="3863" max="3865" width="10.5703125" style="527" customWidth="1"/>
    <col min="3866" max="3866" width="59.7109375" style="527" customWidth="1"/>
    <col min="3867" max="3867" width="5" style="527" customWidth="1"/>
    <col min="3868" max="3868" width="16.140625" style="527" customWidth="1"/>
    <col min="3869" max="3869" width="14.140625" style="527" customWidth="1"/>
    <col min="3870" max="3870" width="13.140625" style="527" customWidth="1"/>
    <col min="3871" max="3871" width="22.42578125" style="527" customWidth="1"/>
    <col min="3872" max="3872" width="22" style="527" customWidth="1"/>
    <col min="3873" max="3873" width="2.7109375" style="527" customWidth="1"/>
    <col min="3874" max="3874" width="16.42578125" style="527" bestFit="1" customWidth="1"/>
    <col min="3875" max="3876" width="22" style="527" customWidth="1"/>
    <col min="3877" max="3877" width="21" style="527" customWidth="1"/>
    <col min="3878" max="3878" width="15.140625" style="527" customWidth="1"/>
    <col min="3879" max="3879" width="17.42578125" style="527" customWidth="1"/>
    <col min="3880" max="3880" width="19.42578125" style="527" customWidth="1"/>
    <col min="3881" max="4099" width="9.140625" style="527"/>
    <col min="4100" max="4100" width="111.7109375" style="527" customWidth="1"/>
    <col min="4101" max="4103" width="0" style="527" hidden="1" customWidth="1"/>
    <col min="4104" max="4106" width="20.140625" style="527" customWidth="1"/>
    <col min="4107" max="4107" width="13" style="527" customWidth="1"/>
    <col min="4108" max="4110" width="8.7109375" style="527" customWidth="1"/>
    <col min="4111" max="4112" width="11.5703125" style="527" customWidth="1"/>
    <col min="4113" max="4113" width="0" style="527" hidden="1" customWidth="1"/>
    <col min="4114" max="4115" width="11.5703125" style="527" customWidth="1"/>
    <col min="4116" max="4117" width="10.5703125" style="527" customWidth="1"/>
    <col min="4118" max="4118" width="0" style="527" hidden="1" customWidth="1"/>
    <col min="4119" max="4121" width="10.5703125" style="527" customWidth="1"/>
    <col min="4122" max="4122" width="59.7109375" style="527" customWidth="1"/>
    <col min="4123" max="4123" width="5" style="527" customWidth="1"/>
    <col min="4124" max="4124" width="16.140625" style="527" customWidth="1"/>
    <col min="4125" max="4125" width="14.140625" style="527" customWidth="1"/>
    <col min="4126" max="4126" width="13.140625" style="527" customWidth="1"/>
    <col min="4127" max="4127" width="22.42578125" style="527" customWidth="1"/>
    <col min="4128" max="4128" width="22" style="527" customWidth="1"/>
    <col min="4129" max="4129" width="2.7109375" style="527" customWidth="1"/>
    <col min="4130" max="4130" width="16.42578125" style="527" bestFit="1" customWidth="1"/>
    <col min="4131" max="4132" width="22" style="527" customWidth="1"/>
    <col min="4133" max="4133" width="21" style="527" customWidth="1"/>
    <col min="4134" max="4134" width="15.140625" style="527" customWidth="1"/>
    <col min="4135" max="4135" width="17.42578125" style="527" customWidth="1"/>
    <col min="4136" max="4136" width="19.42578125" style="527" customWidth="1"/>
    <col min="4137" max="4355" width="9.140625" style="527"/>
    <col min="4356" max="4356" width="111.7109375" style="527" customWidth="1"/>
    <col min="4357" max="4359" width="0" style="527" hidden="1" customWidth="1"/>
    <col min="4360" max="4362" width="20.140625" style="527" customWidth="1"/>
    <col min="4363" max="4363" width="13" style="527" customWidth="1"/>
    <col min="4364" max="4366" width="8.7109375" style="527" customWidth="1"/>
    <col min="4367" max="4368" width="11.5703125" style="527" customWidth="1"/>
    <col min="4369" max="4369" width="0" style="527" hidden="1" customWidth="1"/>
    <col min="4370" max="4371" width="11.5703125" style="527" customWidth="1"/>
    <col min="4372" max="4373" width="10.5703125" style="527" customWidth="1"/>
    <col min="4374" max="4374" width="0" style="527" hidden="1" customWidth="1"/>
    <col min="4375" max="4377" width="10.5703125" style="527" customWidth="1"/>
    <col min="4378" max="4378" width="59.7109375" style="527" customWidth="1"/>
    <col min="4379" max="4379" width="5" style="527" customWidth="1"/>
    <col min="4380" max="4380" width="16.140625" style="527" customWidth="1"/>
    <col min="4381" max="4381" width="14.140625" style="527" customWidth="1"/>
    <col min="4382" max="4382" width="13.140625" style="527" customWidth="1"/>
    <col min="4383" max="4383" width="22.42578125" style="527" customWidth="1"/>
    <col min="4384" max="4384" width="22" style="527" customWidth="1"/>
    <col min="4385" max="4385" width="2.7109375" style="527" customWidth="1"/>
    <col min="4386" max="4386" width="16.42578125" style="527" bestFit="1" customWidth="1"/>
    <col min="4387" max="4388" width="22" style="527" customWidth="1"/>
    <col min="4389" max="4389" width="21" style="527" customWidth="1"/>
    <col min="4390" max="4390" width="15.140625" style="527" customWidth="1"/>
    <col min="4391" max="4391" width="17.42578125" style="527" customWidth="1"/>
    <col min="4392" max="4392" width="19.42578125" style="527" customWidth="1"/>
    <col min="4393" max="4611" width="9.140625" style="527"/>
    <col min="4612" max="4612" width="111.7109375" style="527" customWidth="1"/>
    <col min="4613" max="4615" width="0" style="527" hidden="1" customWidth="1"/>
    <col min="4616" max="4618" width="20.140625" style="527" customWidth="1"/>
    <col min="4619" max="4619" width="13" style="527" customWidth="1"/>
    <col min="4620" max="4622" width="8.7109375" style="527" customWidth="1"/>
    <col min="4623" max="4624" width="11.5703125" style="527" customWidth="1"/>
    <col min="4625" max="4625" width="0" style="527" hidden="1" customWidth="1"/>
    <col min="4626" max="4627" width="11.5703125" style="527" customWidth="1"/>
    <col min="4628" max="4629" width="10.5703125" style="527" customWidth="1"/>
    <col min="4630" max="4630" width="0" style="527" hidden="1" customWidth="1"/>
    <col min="4631" max="4633" width="10.5703125" style="527" customWidth="1"/>
    <col min="4634" max="4634" width="59.7109375" style="527" customWidth="1"/>
    <col min="4635" max="4635" width="5" style="527" customWidth="1"/>
    <col min="4636" max="4636" width="16.140625" style="527" customWidth="1"/>
    <col min="4637" max="4637" width="14.140625" style="527" customWidth="1"/>
    <col min="4638" max="4638" width="13.140625" style="527" customWidth="1"/>
    <col min="4639" max="4639" width="22.42578125" style="527" customWidth="1"/>
    <col min="4640" max="4640" width="22" style="527" customWidth="1"/>
    <col min="4641" max="4641" width="2.7109375" style="527" customWidth="1"/>
    <col min="4642" max="4642" width="16.42578125" style="527" bestFit="1" customWidth="1"/>
    <col min="4643" max="4644" width="22" style="527" customWidth="1"/>
    <col min="4645" max="4645" width="21" style="527" customWidth="1"/>
    <col min="4646" max="4646" width="15.140625" style="527" customWidth="1"/>
    <col min="4647" max="4647" width="17.42578125" style="527" customWidth="1"/>
    <col min="4648" max="4648" width="19.42578125" style="527" customWidth="1"/>
    <col min="4649" max="4867" width="9.140625" style="527"/>
    <col min="4868" max="4868" width="111.7109375" style="527" customWidth="1"/>
    <col min="4869" max="4871" width="0" style="527" hidden="1" customWidth="1"/>
    <col min="4872" max="4874" width="20.140625" style="527" customWidth="1"/>
    <col min="4875" max="4875" width="13" style="527" customWidth="1"/>
    <col min="4876" max="4878" width="8.7109375" style="527" customWidth="1"/>
    <col min="4879" max="4880" width="11.5703125" style="527" customWidth="1"/>
    <col min="4881" max="4881" width="0" style="527" hidden="1" customWidth="1"/>
    <col min="4882" max="4883" width="11.5703125" style="527" customWidth="1"/>
    <col min="4884" max="4885" width="10.5703125" style="527" customWidth="1"/>
    <col min="4886" max="4886" width="0" style="527" hidden="1" customWidth="1"/>
    <col min="4887" max="4889" width="10.5703125" style="527" customWidth="1"/>
    <col min="4890" max="4890" width="59.7109375" style="527" customWidth="1"/>
    <col min="4891" max="4891" width="5" style="527" customWidth="1"/>
    <col min="4892" max="4892" width="16.140625" style="527" customWidth="1"/>
    <col min="4893" max="4893" width="14.140625" style="527" customWidth="1"/>
    <col min="4894" max="4894" width="13.140625" style="527" customWidth="1"/>
    <col min="4895" max="4895" width="22.42578125" style="527" customWidth="1"/>
    <col min="4896" max="4896" width="22" style="527" customWidth="1"/>
    <col min="4897" max="4897" width="2.7109375" style="527" customWidth="1"/>
    <col min="4898" max="4898" width="16.42578125" style="527" bestFit="1" customWidth="1"/>
    <col min="4899" max="4900" width="22" style="527" customWidth="1"/>
    <col min="4901" max="4901" width="21" style="527" customWidth="1"/>
    <col min="4902" max="4902" width="15.140625" style="527" customWidth="1"/>
    <col min="4903" max="4903" width="17.42578125" style="527" customWidth="1"/>
    <col min="4904" max="4904" width="19.42578125" style="527" customWidth="1"/>
    <col min="4905" max="5123" width="9.140625" style="527"/>
    <col min="5124" max="5124" width="111.7109375" style="527" customWidth="1"/>
    <col min="5125" max="5127" width="0" style="527" hidden="1" customWidth="1"/>
    <col min="5128" max="5130" width="20.140625" style="527" customWidth="1"/>
    <col min="5131" max="5131" width="13" style="527" customWidth="1"/>
    <col min="5132" max="5134" width="8.7109375" style="527" customWidth="1"/>
    <col min="5135" max="5136" width="11.5703125" style="527" customWidth="1"/>
    <col min="5137" max="5137" width="0" style="527" hidden="1" customWidth="1"/>
    <col min="5138" max="5139" width="11.5703125" style="527" customWidth="1"/>
    <col min="5140" max="5141" width="10.5703125" style="527" customWidth="1"/>
    <col min="5142" max="5142" width="0" style="527" hidden="1" customWidth="1"/>
    <col min="5143" max="5145" width="10.5703125" style="527" customWidth="1"/>
    <col min="5146" max="5146" width="59.7109375" style="527" customWidth="1"/>
    <col min="5147" max="5147" width="5" style="527" customWidth="1"/>
    <col min="5148" max="5148" width="16.140625" style="527" customWidth="1"/>
    <col min="5149" max="5149" width="14.140625" style="527" customWidth="1"/>
    <col min="5150" max="5150" width="13.140625" style="527" customWidth="1"/>
    <col min="5151" max="5151" width="22.42578125" style="527" customWidth="1"/>
    <col min="5152" max="5152" width="22" style="527" customWidth="1"/>
    <col min="5153" max="5153" width="2.7109375" style="527" customWidth="1"/>
    <col min="5154" max="5154" width="16.42578125" style="527" bestFit="1" customWidth="1"/>
    <col min="5155" max="5156" width="22" style="527" customWidth="1"/>
    <col min="5157" max="5157" width="21" style="527" customWidth="1"/>
    <col min="5158" max="5158" width="15.140625" style="527" customWidth="1"/>
    <col min="5159" max="5159" width="17.42578125" style="527" customWidth="1"/>
    <col min="5160" max="5160" width="19.42578125" style="527" customWidth="1"/>
    <col min="5161" max="5379" width="9.140625" style="527"/>
    <col min="5380" max="5380" width="111.7109375" style="527" customWidth="1"/>
    <col min="5381" max="5383" width="0" style="527" hidden="1" customWidth="1"/>
    <col min="5384" max="5386" width="20.140625" style="527" customWidth="1"/>
    <col min="5387" max="5387" width="13" style="527" customWidth="1"/>
    <col min="5388" max="5390" width="8.7109375" style="527" customWidth="1"/>
    <col min="5391" max="5392" width="11.5703125" style="527" customWidth="1"/>
    <col min="5393" max="5393" width="0" style="527" hidden="1" customWidth="1"/>
    <col min="5394" max="5395" width="11.5703125" style="527" customWidth="1"/>
    <col min="5396" max="5397" width="10.5703125" style="527" customWidth="1"/>
    <col min="5398" max="5398" width="0" style="527" hidden="1" customWidth="1"/>
    <col min="5399" max="5401" width="10.5703125" style="527" customWidth="1"/>
    <col min="5402" max="5402" width="59.7109375" style="527" customWidth="1"/>
    <col min="5403" max="5403" width="5" style="527" customWidth="1"/>
    <col min="5404" max="5404" width="16.140625" style="527" customWidth="1"/>
    <col min="5405" max="5405" width="14.140625" style="527" customWidth="1"/>
    <col min="5406" max="5406" width="13.140625" style="527" customWidth="1"/>
    <col min="5407" max="5407" width="22.42578125" style="527" customWidth="1"/>
    <col min="5408" max="5408" width="22" style="527" customWidth="1"/>
    <col min="5409" max="5409" width="2.7109375" style="527" customWidth="1"/>
    <col min="5410" max="5410" width="16.42578125" style="527" bestFit="1" customWidth="1"/>
    <col min="5411" max="5412" width="22" style="527" customWidth="1"/>
    <col min="5413" max="5413" width="21" style="527" customWidth="1"/>
    <col min="5414" max="5414" width="15.140625" style="527" customWidth="1"/>
    <col min="5415" max="5415" width="17.42578125" style="527" customWidth="1"/>
    <col min="5416" max="5416" width="19.42578125" style="527" customWidth="1"/>
    <col min="5417" max="5635" width="9.140625" style="527"/>
    <col min="5636" max="5636" width="111.7109375" style="527" customWidth="1"/>
    <col min="5637" max="5639" width="0" style="527" hidden="1" customWidth="1"/>
    <col min="5640" max="5642" width="20.140625" style="527" customWidth="1"/>
    <col min="5643" max="5643" width="13" style="527" customWidth="1"/>
    <col min="5644" max="5646" width="8.7109375" style="527" customWidth="1"/>
    <col min="5647" max="5648" width="11.5703125" style="527" customWidth="1"/>
    <col min="5649" max="5649" width="0" style="527" hidden="1" customWidth="1"/>
    <col min="5650" max="5651" width="11.5703125" style="527" customWidth="1"/>
    <col min="5652" max="5653" width="10.5703125" style="527" customWidth="1"/>
    <col min="5654" max="5654" width="0" style="527" hidden="1" customWidth="1"/>
    <col min="5655" max="5657" width="10.5703125" style="527" customWidth="1"/>
    <col min="5658" max="5658" width="59.7109375" style="527" customWidth="1"/>
    <col min="5659" max="5659" width="5" style="527" customWidth="1"/>
    <col min="5660" max="5660" width="16.140625" style="527" customWidth="1"/>
    <col min="5661" max="5661" width="14.140625" style="527" customWidth="1"/>
    <col min="5662" max="5662" width="13.140625" style="527" customWidth="1"/>
    <col min="5663" max="5663" width="22.42578125" style="527" customWidth="1"/>
    <col min="5664" max="5664" width="22" style="527" customWidth="1"/>
    <col min="5665" max="5665" width="2.7109375" style="527" customWidth="1"/>
    <col min="5666" max="5666" width="16.42578125" style="527" bestFit="1" customWidth="1"/>
    <col min="5667" max="5668" width="22" style="527" customWidth="1"/>
    <col min="5669" max="5669" width="21" style="527" customWidth="1"/>
    <col min="5670" max="5670" width="15.140625" style="527" customWidth="1"/>
    <col min="5671" max="5671" width="17.42578125" style="527" customWidth="1"/>
    <col min="5672" max="5672" width="19.42578125" style="527" customWidth="1"/>
    <col min="5673" max="5891" width="9.140625" style="527"/>
    <col min="5892" max="5892" width="111.7109375" style="527" customWidth="1"/>
    <col min="5893" max="5895" width="0" style="527" hidden="1" customWidth="1"/>
    <col min="5896" max="5898" width="20.140625" style="527" customWidth="1"/>
    <col min="5899" max="5899" width="13" style="527" customWidth="1"/>
    <col min="5900" max="5902" width="8.7109375" style="527" customWidth="1"/>
    <col min="5903" max="5904" width="11.5703125" style="527" customWidth="1"/>
    <col min="5905" max="5905" width="0" style="527" hidden="1" customWidth="1"/>
    <col min="5906" max="5907" width="11.5703125" style="527" customWidth="1"/>
    <col min="5908" max="5909" width="10.5703125" style="527" customWidth="1"/>
    <col min="5910" max="5910" width="0" style="527" hidden="1" customWidth="1"/>
    <col min="5911" max="5913" width="10.5703125" style="527" customWidth="1"/>
    <col min="5914" max="5914" width="59.7109375" style="527" customWidth="1"/>
    <col min="5915" max="5915" width="5" style="527" customWidth="1"/>
    <col min="5916" max="5916" width="16.140625" style="527" customWidth="1"/>
    <col min="5917" max="5917" width="14.140625" style="527" customWidth="1"/>
    <col min="5918" max="5918" width="13.140625" style="527" customWidth="1"/>
    <col min="5919" max="5919" width="22.42578125" style="527" customWidth="1"/>
    <col min="5920" max="5920" width="22" style="527" customWidth="1"/>
    <col min="5921" max="5921" width="2.7109375" style="527" customWidth="1"/>
    <col min="5922" max="5922" width="16.42578125" style="527" bestFit="1" customWidth="1"/>
    <col min="5923" max="5924" width="22" style="527" customWidth="1"/>
    <col min="5925" max="5925" width="21" style="527" customWidth="1"/>
    <col min="5926" max="5926" width="15.140625" style="527" customWidth="1"/>
    <col min="5927" max="5927" width="17.42578125" style="527" customWidth="1"/>
    <col min="5928" max="5928" width="19.42578125" style="527" customWidth="1"/>
    <col min="5929" max="6147" width="9.140625" style="527"/>
    <col min="6148" max="6148" width="111.7109375" style="527" customWidth="1"/>
    <col min="6149" max="6151" width="0" style="527" hidden="1" customWidth="1"/>
    <col min="6152" max="6154" width="20.140625" style="527" customWidth="1"/>
    <col min="6155" max="6155" width="13" style="527" customWidth="1"/>
    <col min="6156" max="6158" width="8.7109375" style="527" customWidth="1"/>
    <col min="6159" max="6160" width="11.5703125" style="527" customWidth="1"/>
    <col min="6161" max="6161" width="0" style="527" hidden="1" customWidth="1"/>
    <col min="6162" max="6163" width="11.5703125" style="527" customWidth="1"/>
    <col min="6164" max="6165" width="10.5703125" style="527" customWidth="1"/>
    <col min="6166" max="6166" width="0" style="527" hidden="1" customWidth="1"/>
    <col min="6167" max="6169" width="10.5703125" style="527" customWidth="1"/>
    <col min="6170" max="6170" width="59.7109375" style="527" customWidth="1"/>
    <col min="6171" max="6171" width="5" style="527" customWidth="1"/>
    <col min="6172" max="6172" width="16.140625" style="527" customWidth="1"/>
    <col min="6173" max="6173" width="14.140625" style="527" customWidth="1"/>
    <col min="6174" max="6174" width="13.140625" style="527" customWidth="1"/>
    <col min="6175" max="6175" width="22.42578125" style="527" customWidth="1"/>
    <col min="6176" max="6176" width="22" style="527" customWidth="1"/>
    <col min="6177" max="6177" width="2.7109375" style="527" customWidth="1"/>
    <col min="6178" max="6178" width="16.42578125" style="527" bestFit="1" customWidth="1"/>
    <col min="6179" max="6180" width="22" style="527" customWidth="1"/>
    <col min="6181" max="6181" width="21" style="527" customWidth="1"/>
    <col min="6182" max="6182" width="15.140625" style="527" customWidth="1"/>
    <col min="6183" max="6183" width="17.42578125" style="527" customWidth="1"/>
    <col min="6184" max="6184" width="19.42578125" style="527" customWidth="1"/>
    <col min="6185" max="6403" width="9.140625" style="527"/>
    <col min="6404" max="6404" width="111.7109375" style="527" customWidth="1"/>
    <col min="6405" max="6407" width="0" style="527" hidden="1" customWidth="1"/>
    <col min="6408" max="6410" width="20.140625" style="527" customWidth="1"/>
    <col min="6411" max="6411" width="13" style="527" customWidth="1"/>
    <col min="6412" max="6414" width="8.7109375" style="527" customWidth="1"/>
    <col min="6415" max="6416" width="11.5703125" style="527" customWidth="1"/>
    <col min="6417" max="6417" width="0" style="527" hidden="1" customWidth="1"/>
    <col min="6418" max="6419" width="11.5703125" style="527" customWidth="1"/>
    <col min="6420" max="6421" width="10.5703125" style="527" customWidth="1"/>
    <col min="6422" max="6422" width="0" style="527" hidden="1" customWidth="1"/>
    <col min="6423" max="6425" width="10.5703125" style="527" customWidth="1"/>
    <col min="6426" max="6426" width="59.7109375" style="527" customWidth="1"/>
    <col min="6427" max="6427" width="5" style="527" customWidth="1"/>
    <col min="6428" max="6428" width="16.140625" style="527" customWidth="1"/>
    <col min="6429" max="6429" width="14.140625" style="527" customWidth="1"/>
    <col min="6430" max="6430" width="13.140625" style="527" customWidth="1"/>
    <col min="6431" max="6431" width="22.42578125" style="527" customWidth="1"/>
    <col min="6432" max="6432" width="22" style="527" customWidth="1"/>
    <col min="6433" max="6433" width="2.7109375" style="527" customWidth="1"/>
    <col min="6434" max="6434" width="16.42578125" style="527" bestFit="1" customWidth="1"/>
    <col min="6435" max="6436" width="22" style="527" customWidth="1"/>
    <col min="6437" max="6437" width="21" style="527" customWidth="1"/>
    <col min="6438" max="6438" width="15.140625" style="527" customWidth="1"/>
    <col min="6439" max="6439" width="17.42578125" style="527" customWidth="1"/>
    <col min="6440" max="6440" width="19.42578125" style="527" customWidth="1"/>
    <col min="6441" max="6659" width="9.140625" style="527"/>
    <col min="6660" max="6660" width="111.7109375" style="527" customWidth="1"/>
    <col min="6661" max="6663" width="0" style="527" hidden="1" customWidth="1"/>
    <col min="6664" max="6666" width="20.140625" style="527" customWidth="1"/>
    <col min="6667" max="6667" width="13" style="527" customWidth="1"/>
    <col min="6668" max="6670" width="8.7109375" style="527" customWidth="1"/>
    <col min="6671" max="6672" width="11.5703125" style="527" customWidth="1"/>
    <col min="6673" max="6673" width="0" style="527" hidden="1" customWidth="1"/>
    <col min="6674" max="6675" width="11.5703125" style="527" customWidth="1"/>
    <col min="6676" max="6677" width="10.5703125" style="527" customWidth="1"/>
    <col min="6678" max="6678" width="0" style="527" hidden="1" customWidth="1"/>
    <col min="6679" max="6681" width="10.5703125" style="527" customWidth="1"/>
    <col min="6682" max="6682" width="59.7109375" style="527" customWidth="1"/>
    <col min="6683" max="6683" width="5" style="527" customWidth="1"/>
    <col min="6684" max="6684" width="16.140625" style="527" customWidth="1"/>
    <col min="6685" max="6685" width="14.140625" style="527" customWidth="1"/>
    <col min="6686" max="6686" width="13.140625" style="527" customWidth="1"/>
    <col min="6687" max="6687" width="22.42578125" style="527" customWidth="1"/>
    <col min="6688" max="6688" width="22" style="527" customWidth="1"/>
    <col min="6689" max="6689" width="2.7109375" style="527" customWidth="1"/>
    <col min="6690" max="6690" width="16.42578125" style="527" bestFit="1" customWidth="1"/>
    <col min="6691" max="6692" width="22" style="527" customWidth="1"/>
    <col min="6693" max="6693" width="21" style="527" customWidth="1"/>
    <col min="6694" max="6694" width="15.140625" style="527" customWidth="1"/>
    <col min="6695" max="6695" width="17.42578125" style="527" customWidth="1"/>
    <col min="6696" max="6696" width="19.42578125" style="527" customWidth="1"/>
    <col min="6697" max="6915" width="9.140625" style="527"/>
    <col min="6916" max="6916" width="111.7109375" style="527" customWidth="1"/>
    <col min="6917" max="6919" width="0" style="527" hidden="1" customWidth="1"/>
    <col min="6920" max="6922" width="20.140625" style="527" customWidth="1"/>
    <col min="6923" max="6923" width="13" style="527" customWidth="1"/>
    <col min="6924" max="6926" width="8.7109375" style="527" customWidth="1"/>
    <col min="6927" max="6928" width="11.5703125" style="527" customWidth="1"/>
    <col min="6929" max="6929" width="0" style="527" hidden="1" customWidth="1"/>
    <col min="6930" max="6931" width="11.5703125" style="527" customWidth="1"/>
    <col min="6932" max="6933" width="10.5703125" style="527" customWidth="1"/>
    <col min="6934" max="6934" width="0" style="527" hidden="1" customWidth="1"/>
    <col min="6935" max="6937" width="10.5703125" style="527" customWidth="1"/>
    <col min="6938" max="6938" width="59.7109375" style="527" customWidth="1"/>
    <col min="6939" max="6939" width="5" style="527" customWidth="1"/>
    <col min="6940" max="6940" width="16.140625" style="527" customWidth="1"/>
    <col min="6941" max="6941" width="14.140625" style="527" customWidth="1"/>
    <col min="6942" max="6942" width="13.140625" style="527" customWidth="1"/>
    <col min="6943" max="6943" width="22.42578125" style="527" customWidth="1"/>
    <col min="6944" max="6944" width="22" style="527" customWidth="1"/>
    <col min="6945" max="6945" width="2.7109375" style="527" customWidth="1"/>
    <col min="6946" max="6946" width="16.42578125" style="527" bestFit="1" customWidth="1"/>
    <col min="6947" max="6948" width="22" style="527" customWidth="1"/>
    <col min="6949" max="6949" width="21" style="527" customWidth="1"/>
    <col min="6950" max="6950" width="15.140625" style="527" customWidth="1"/>
    <col min="6951" max="6951" width="17.42578125" style="527" customWidth="1"/>
    <col min="6952" max="6952" width="19.42578125" style="527" customWidth="1"/>
    <col min="6953" max="7171" width="9.140625" style="527"/>
    <col min="7172" max="7172" width="111.7109375" style="527" customWidth="1"/>
    <col min="7173" max="7175" width="0" style="527" hidden="1" customWidth="1"/>
    <col min="7176" max="7178" width="20.140625" style="527" customWidth="1"/>
    <col min="7179" max="7179" width="13" style="527" customWidth="1"/>
    <col min="7180" max="7182" width="8.7109375" style="527" customWidth="1"/>
    <col min="7183" max="7184" width="11.5703125" style="527" customWidth="1"/>
    <col min="7185" max="7185" width="0" style="527" hidden="1" customWidth="1"/>
    <col min="7186" max="7187" width="11.5703125" style="527" customWidth="1"/>
    <col min="7188" max="7189" width="10.5703125" style="527" customWidth="1"/>
    <col min="7190" max="7190" width="0" style="527" hidden="1" customWidth="1"/>
    <col min="7191" max="7193" width="10.5703125" style="527" customWidth="1"/>
    <col min="7194" max="7194" width="59.7109375" style="527" customWidth="1"/>
    <col min="7195" max="7195" width="5" style="527" customWidth="1"/>
    <col min="7196" max="7196" width="16.140625" style="527" customWidth="1"/>
    <col min="7197" max="7197" width="14.140625" style="527" customWidth="1"/>
    <col min="7198" max="7198" width="13.140625" style="527" customWidth="1"/>
    <col min="7199" max="7199" width="22.42578125" style="527" customWidth="1"/>
    <col min="7200" max="7200" width="22" style="527" customWidth="1"/>
    <col min="7201" max="7201" width="2.7109375" style="527" customWidth="1"/>
    <col min="7202" max="7202" width="16.42578125" style="527" bestFit="1" customWidth="1"/>
    <col min="7203" max="7204" width="22" style="527" customWidth="1"/>
    <col min="7205" max="7205" width="21" style="527" customWidth="1"/>
    <col min="7206" max="7206" width="15.140625" style="527" customWidth="1"/>
    <col min="7207" max="7207" width="17.42578125" style="527" customWidth="1"/>
    <col min="7208" max="7208" width="19.42578125" style="527" customWidth="1"/>
    <col min="7209" max="7427" width="9.140625" style="527"/>
    <col min="7428" max="7428" width="111.7109375" style="527" customWidth="1"/>
    <col min="7429" max="7431" width="0" style="527" hidden="1" customWidth="1"/>
    <col min="7432" max="7434" width="20.140625" style="527" customWidth="1"/>
    <col min="7435" max="7435" width="13" style="527" customWidth="1"/>
    <col min="7436" max="7438" width="8.7109375" style="527" customWidth="1"/>
    <col min="7439" max="7440" width="11.5703125" style="527" customWidth="1"/>
    <col min="7441" max="7441" width="0" style="527" hidden="1" customWidth="1"/>
    <col min="7442" max="7443" width="11.5703125" style="527" customWidth="1"/>
    <col min="7444" max="7445" width="10.5703125" style="527" customWidth="1"/>
    <col min="7446" max="7446" width="0" style="527" hidden="1" customWidth="1"/>
    <col min="7447" max="7449" width="10.5703125" style="527" customWidth="1"/>
    <col min="7450" max="7450" width="59.7109375" style="527" customWidth="1"/>
    <col min="7451" max="7451" width="5" style="527" customWidth="1"/>
    <col min="7452" max="7452" width="16.140625" style="527" customWidth="1"/>
    <col min="7453" max="7453" width="14.140625" style="527" customWidth="1"/>
    <col min="7454" max="7454" width="13.140625" style="527" customWidth="1"/>
    <col min="7455" max="7455" width="22.42578125" style="527" customWidth="1"/>
    <col min="7456" max="7456" width="22" style="527" customWidth="1"/>
    <col min="7457" max="7457" width="2.7109375" style="527" customWidth="1"/>
    <col min="7458" max="7458" width="16.42578125" style="527" bestFit="1" customWidth="1"/>
    <col min="7459" max="7460" width="22" style="527" customWidth="1"/>
    <col min="7461" max="7461" width="21" style="527" customWidth="1"/>
    <col min="7462" max="7462" width="15.140625" style="527" customWidth="1"/>
    <col min="7463" max="7463" width="17.42578125" style="527" customWidth="1"/>
    <col min="7464" max="7464" width="19.42578125" style="527" customWidth="1"/>
    <col min="7465" max="7683" width="9.140625" style="527"/>
    <col min="7684" max="7684" width="111.7109375" style="527" customWidth="1"/>
    <col min="7685" max="7687" width="0" style="527" hidden="1" customWidth="1"/>
    <col min="7688" max="7690" width="20.140625" style="527" customWidth="1"/>
    <col min="7691" max="7691" width="13" style="527" customWidth="1"/>
    <col min="7692" max="7694" width="8.7109375" style="527" customWidth="1"/>
    <col min="7695" max="7696" width="11.5703125" style="527" customWidth="1"/>
    <col min="7697" max="7697" width="0" style="527" hidden="1" customWidth="1"/>
    <col min="7698" max="7699" width="11.5703125" style="527" customWidth="1"/>
    <col min="7700" max="7701" width="10.5703125" style="527" customWidth="1"/>
    <col min="7702" max="7702" width="0" style="527" hidden="1" customWidth="1"/>
    <col min="7703" max="7705" width="10.5703125" style="527" customWidth="1"/>
    <col min="7706" max="7706" width="59.7109375" style="527" customWidth="1"/>
    <col min="7707" max="7707" width="5" style="527" customWidth="1"/>
    <col min="7708" max="7708" width="16.140625" style="527" customWidth="1"/>
    <col min="7709" max="7709" width="14.140625" style="527" customWidth="1"/>
    <col min="7710" max="7710" width="13.140625" style="527" customWidth="1"/>
    <col min="7711" max="7711" width="22.42578125" style="527" customWidth="1"/>
    <col min="7712" max="7712" width="22" style="527" customWidth="1"/>
    <col min="7713" max="7713" width="2.7109375" style="527" customWidth="1"/>
    <col min="7714" max="7714" width="16.42578125" style="527" bestFit="1" customWidth="1"/>
    <col min="7715" max="7716" width="22" style="527" customWidth="1"/>
    <col min="7717" max="7717" width="21" style="527" customWidth="1"/>
    <col min="7718" max="7718" width="15.140625" style="527" customWidth="1"/>
    <col min="7719" max="7719" width="17.42578125" style="527" customWidth="1"/>
    <col min="7720" max="7720" width="19.42578125" style="527" customWidth="1"/>
    <col min="7721" max="7939" width="9.140625" style="527"/>
    <col min="7940" max="7940" width="111.7109375" style="527" customWidth="1"/>
    <col min="7941" max="7943" width="0" style="527" hidden="1" customWidth="1"/>
    <col min="7944" max="7946" width="20.140625" style="527" customWidth="1"/>
    <col min="7947" max="7947" width="13" style="527" customWidth="1"/>
    <col min="7948" max="7950" width="8.7109375" style="527" customWidth="1"/>
    <col min="7951" max="7952" width="11.5703125" style="527" customWidth="1"/>
    <col min="7953" max="7953" width="0" style="527" hidden="1" customWidth="1"/>
    <col min="7954" max="7955" width="11.5703125" style="527" customWidth="1"/>
    <col min="7956" max="7957" width="10.5703125" style="527" customWidth="1"/>
    <col min="7958" max="7958" width="0" style="527" hidden="1" customWidth="1"/>
    <col min="7959" max="7961" width="10.5703125" style="527" customWidth="1"/>
    <col min="7962" max="7962" width="59.7109375" style="527" customWidth="1"/>
    <col min="7963" max="7963" width="5" style="527" customWidth="1"/>
    <col min="7964" max="7964" width="16.140625" style="527" customWidth="1"/>
    <col min="7965" max="7965" width="14.140625" style="527" customWidth="1"/>
    <col min="7966" max="7966" width="13.140625" style="527" customWidth="1"/>
    <col min="7967" max="7967" width="22.42578125" style="527" customWidth="1"/>
    <col min="7968" max="7968" width="22" style="527" customWidth="1"/>
    <col min="7969" max="7969" width="2.7109375" style="527" customWidth="1"/>
    <col min="7970" max="7970" width="16.42578125" style="527" bestFit="1" customWidth="1"/>
    <col min="7971" max="7972" width="22" style="527" customWidth="1"/>
    <col min="7973" max="7973" width="21" style="527" customWidth="1"/>
    <col min="7974" max="7974" width="15.140625" style="527" customWidth="1"/>
    <col min="7975" max="7975" width="17.42578125" style="527" customWidth="1"/>
    <col min="7976" max="7976" width="19.42578125" style="527" customWidth="1"/>
    <col min="7977" max="8195" width="9.140625" style="527"/>
    <col min="8196" max="8196" width="111.7109375" style="527" customWidth="1"/>
    <col min="8197" max="8199" width="0" style="527" hidden="1" customWidth="1"/>
    <col min="8200" max="8202" width="20.140625" style="527" customWidth="1"/>
    <col min="8203" max="8203" width="13" style="527" customWidth="1"/>
    <col min="8204" max="8206" width="8.7109375" style="527" customWidth="1"/>
    <col min="8207" max="8208" width="11.5703125" style="527" customWidth="1"/>
    <col min="8209" max="8209" width="0" style="527" hidden="1" customWidth="1"/>
    <col min="8210" max="8211" width="11.5703125" style="527" customWidth="1"/>
    <col min="8212" max="8213" width="10.5703125" style="527" customWidth="1"/>
    <col min="8214" max="8214" width="0" style="527" hidden="1" customWidth="1"/>
    <col min="8215" max="8217" width="10.5703125" style="527" customWidth="1"/>
    <col min="8218" max="8218" width="59.7109375" style="527" customWidth="1"/>
    <col min="8219" max="8219" width="5" style="527" customWidth="1"/>
    <col min="8220" max="8220" width="16.140625" style="527" customWidth="1"/>
    <col min="8221" max="8221" width="14.140625" style="527" customWidth="1"/>
    <col min="8222" max="8222" width="13.140625" style="527" customWidth="1"/>
    <col min="8223" max="8223" width="22.42578125" style="527" customWidth="1"/>
    <col min="8224" max="8224" width="22" style="527" customWidth="1"/>
    <col min="8225" max="8225" width="2.7109375" style="527" customWidth="1"/>
    <col min="8226" max="8226" width="16.42578125" style="527" bestFit="1" customWidth="1"/>
    <col min="8227" max="8228" width="22" style="527" customWidth="1"/>
    <col min="8229" max="8229" width="21" style="527" customWidth="1"/>
    <col min="8230" max="8230" width="15.140625" style="527" customWidth="1"/>
    <col min="8231" max="8231" width="17.42578125" style="527" customWidth="1"/>
    <col min="8232" max="8232" width="19.42578125" style="527" customWidth="1"/>
    <col min="8233" max="8451" width="9.140625" style="527"/>
    <col min="8452" max="8452" width="111.7109375" style="527" customWidth="1"/>
    <col min="8453" max="8455" width="0" style="527" hidden="1" customWidth="1"/>
    <col min="8456" max="8458" width="20.140625" style="527" customWidth="1"/>
    <col min="8459" max="8459" width="13" style="527" customWidth="1"/>
    <col min="8460" max="8462" width="8.7109375" style="527" customWidth="1"/>
    <col min="8463" max="8464" width="11.5703125" style="527" customWidth="1"/>
    <col min="8465" max="8465" width="0" style="527" hidden="1" customWidth="1"/>
    <col min="8466" max="8467" width="11.5703125" style="527" customWidth="1"/>
    <col min="8468" max="8469" width="10.5703125" style="527" customWidth="1"/>
    <col min="8470" max="8470" width="0" style="527" hidden="1" customWidth="1"/>
    <col min="8471" max="8473" width="10.5703125" style="527" customWidth="1"/>
    <col min="8474" max="8474" width="59.7109375" style="527" customWidth="1"/>
    <col min="8475" max="8475" width="5" style="527" customWidth="1"/>
    <col min="8476" max="8476" width="16.140625" style="527" customWidth="1"/>
    <col min="8477" max="8477" width="14.140625" style="527" customWidth="1"/>
    <col min="8478" max="8478" width="13.140625" style="527" customWidth="1"/>
    <col min="8479" max="8479" width="22.42578125" style="527" customWidth="1"/>
    <col min="8480" max="8480" width="22" style="527" customWidth="1"/>
    <col min="8481" max="8481" width="2.7109375" style="527" customWidth="1"/>
    <col min="8482" max="8482" width="16.42578125" style="527" bestFit="1" customWidth="1"/>
    <col min="8483" max="8484" width="22" style="527" customWidth="1"/>
    <col min="8485" max="8485" width="21" style="527" customWidth="1"/>
    <col min="8486" max="8486" width="15.140625" style="527" customWidth="1"/>
    <col min="8487" max="8487" width="17.42578125" style="527" customWidth="1"/>
    <col min="8488" max="8488" width="19.42578125" style="527" customWidth="1"/>
    <col min="8489" max="8707" width="9.140625" style="527"/>
    <col min="8708" max="8708" width="111.7109375" style="527" customWidth="1"/>
    <col min="8709" max="8711" width="0" style="527" hidden="1" customWidth="1"/>
    <col min="8712" max="8714" width="20.140625" style="527" customWidth="1"/>
    <col min="8715" max="8715" width="13" style="527" customWidth="1"/>
    <col min="8716" max="8718" width="8.7109375" style="527" customWidth="1"/>
    <col min="8719" max="8720" width="11.5703125" style="527" customWidth="1"/>
    <col min="8721" max="8721" width="0" style="527" hidden="1" customWidth="1"/>
    <col min="8722" max="8723" width="11.5703125" style="527" customWidth="1"/>
    <col min="8724" max="8725" width="10.5703125" style="527" customWidth="1"/>
    <col min="8726" max="8726" width="0" style="527" hidden="1" customWidth="1"/>
    <col min="8727" max="8729" width="10.5703125" style="527" customWidth="1"/>
    <col min="8730" max="8730" width="59.7109375" style="527" customWidth="1"/>
    <col min="8731" max="8731" width="5" style="527" customWidth="1"/>
    <col min="8732" max="8732" width="16.140625" style="527" customWidth="1"/>
    <col min="8733" max="8733" width="14.140625" style="527" customWidth="1"/>
    <col min="8734" max="8734" width="13.140625" style="527" customWidth="1"/>
    <col min="8735" max="8735" width="22.42578125" style="527" customWidth="1"/>
    <col min="8736" max="8736" width="22" style="527" customWidth="1"/>
    <col min="8737" max="8737" width="2.7109375" style="527" customWidth="1"/>
    <col min="8738" max="8738" width="16.42578125" style="527" bestFit="1" customWidth="1"/>
    <col min="8739" max="8740" width="22" style="527" customWidth="1"/>
    <col min="8741" max="8741" width="21" style="527" customWidth="1"/>
    <col min="8742" max="8742" width="15.140625" style="527" customWidth="1"/>
    <col min="8743" max="8743" width="17.42578125" style="527" customWidth="1"/>
    <col min="8744" max="8744" width="19.42578125" style="527" customWidth="1"/>
    <col min="8745" max="8963" width="9.140625" style="527"/>
    <col min="8964" max="8964" width="111.7109375" style="527" customWidth="1"/>
    <col min="8965" max="8967" width="0" style="527" hidden="1" customWidth="1"/>
    <col min="8968" max="8970" width="20.140625" style="527" customWidth="1"/>
    <col min="8971" max="8971" width="13" style="527" customWidth="1"/>
    <col min="8972" max="8974" width="8.7109375" style="527" customWidth="1"/>
    <col min="8975" max="8976" width="11.5703125" style="527" customWidth="1"/>
    <col min="8977" max="8977" width="0" style="527" hidden="1" customWidth="1"/>
    <col min="8978" max="8979" width="11.5703125" style="527" customWidth="1"/>
    <col min="8980" max="8981" width="10.5703125" style="527" customWidth="1"/>
    <col min="8982" max="8982" width="0" style="527" hidden="1" customWidth="1"/>
    <col min="8983" max="8985" width="10.5703125" style="527" customWidth="1"/>
    <col min="8986" max="8986" width="59.7109375" style="527" customWidth="1"/>
    <col min="8987" max="8987" width="5" style="527" customWidth="1"/>
    <col min="8988" max="8988" width="16.140625" style="527" customWidth="1"/>
    <col min="8989" max="8989" width="14.140625" style="527" customWidth="1"/>
    <col min="8990" max="8990" width="13.140625" style="527" customWidth="1"/>
    <col min="8991" max="8991" width="22.42578125" style="527" customWidth="1"/>
    <col min="8992" max="8992" width="22" style="527" customWidth="1"/>
    <col min="8993" max="8993" width="2.7109375" style="527" customWidth="1"/>
    <col min="8994" max="8994" width="16.42578125" style="527" bestFit="1" customWidth="1"/>
    <col min="8995" max="8996" width="22" style="527" customWidth="1"/>
    <col min="8997" max="8997" width="21" style="527" customWidth="1"/>
    <col min="8998" max="8998" width="15.140625" style="527" customWidth="1"/>
    <col min="8999" max="8999" width="17.42578125" style="527" customWidth="1"/>
    <col min="9000" max="9000" width="19.42578125" style="527" customWidth="1"/>
    <col min="9001" max="9219" width="9.140625" style="527"/>
    <col min="9220" max="9220" width="111.7109375" style="527" customWidth="1"/>
    <col min="9221" max="9223" width="0" style="527" hidden="1" customWidth="1"/>
    <col min="9224" max="9226" width="20.140625" style="527" customWidth="1"/>
    <col min="9227" max="9227" width="13" style="527" customWidth="1"/>
    <col min="9228" max="9230" width="8.7109375" style="527" customWidth="1"/>
    <col min="9231" max="9232" width="11.5703125" style="527" customWidth="1"/>
    <col min="9233" max="9233" width="0" style="527" hidden="1" customWidth="1"/>
    <col min="9234" max="9235" width="11.5703125" style="527" customWidth="1"/>
    <col min="9236" max="9237" width="10.5703125" style="527" customWidth="1"/>
    <col min="9238" max="9238" width="0" style="527" hidden="1" customWidth="1"/>
    <col min="9239" max="9241" width="10.5703125" style="527" customWidth="1"/>
    <col min="9242" max="9242" width="59.7109375" style="527" customWidth="1"/>
    <col min="9243" max="9243" width="5" style="527" customWidth="1"/>
    <col min="9244" max="9244" width="16.140625" style="527" customWidth="1"/>
    <col min="9245" max="9245" width="14.140625" style="527" customWidth="1"/>
    <col min="9246" max="9246" width="13.140625" style="527" customWidth="1"/>
    <col min="9247" max="9247" width="22.42578125" style="527" customWidth="1"/>
    <col min="9248" max="9248" width="22" style="527" customWidth="1"/>
    <col min="9249" max="9249" width="2.7109375" style="527" customWidth="1"/>
    <col min="9250" max="9250" width="16.42578125" style="527" bestFit="1" customWidth="1"/>
    <col min="9251" max="9252" width="22" style="527" customWidth="1"/>
    <col min="9253" max="9253" width="21" style="527" customWidth="1"/>
    <col min="9254" max="9254" width="15.140625" style="527" customWidth="1"/>
    <col min="9255" max="9255" width="17.42578125" style="527" customWidth="1"/>
    <col min="9256" max="9256" width="19.42578125" style="527" customWidth="1"/>
    <col min="9257" max="9475" width="9.140625" style="527"/>
    <col min="9476" max="9476" width="111.7109375" style="527" customWidth="1"/>
    <col min="9477" max="9479" width="0" style="527" hidden="1" customWidth="1"/>
    <col min="9480" max="9482" width="20.140625" style="527" customWidth="1"/>
    <col min="9483" max="9483" width="13" style="527" customWidth="1"/>
    <col min="9484" max="9486" width="8.7109375" style="527" customWidth="1"/>
    <col min="9487" max="9488" width="11.5703125" style="527" customWidth="1"/>
    <col min="9489" max="9489" width="0" style="527" hidden="1" customWidth="1"/>
    <col min="9490" max="9491" width="11.5703125" style="527" customWidth="1"/>
    <col min="9492" max="9493" width="10.5703125" style="527" customWidth="1"/>
    <col min="9494" max="9494" width="0" style="527" hidden="1" customWidth="1"/>
    <col min="9495" max="9497" width="10.5703125" style="527" customWidth="1"/>
    <col min="9498" max="9498" width="59.7109375" style="527" customWidth="1"/>
    <col min="9499" max="9499" width="5" style="527" customWidth="1"/>
    <col min="9500" max="9500" width="16.140625" style="527" customWidth="1"/>
    <col min="9501" max="9501" width="14.140625" style="527" customWidth="1"/>
    <col min="9502" max="9502" width="13.140625" style="527" customWidth="1"/>
    <col min="9503" max="9503" width="22.42578125" style="527" customWidth="1"/>
    <col min="9504" max="9504" width="22" style="527" customWidth="1"/>
    <col min="9505" max="9505" width="2.7109375" style="527" customWidth="1"/>
    <col min="9506" max="9506" width="16.42578125" style="527" bestFit="1" customWidth="1"/>
    <col min="9507" max="9508" width="22" style="527" customWidth="1"/>
    <col min="9509" max="9509" width="21" style="527" customWidth="1"/>
    <col min="9510" max="9510" width="15.140625" style="527" customWidth="1"/>
    <col min="9511" max="9511" width="17.42578125" style="527" customWidth="1"/>
    <col min="9512" max="9512" width="19.42578125" style="527" customWidth="1"/>
    <col min="9513" max="9731" width="9.140625" style="527"/>
    <col min="9732" max="9732" width="111.7109375" style="527" customWidth="1"/>
    <col min="9733" max="9735" width="0" style="527" hidden="1" customWidth="1"/>
    <col min="9736" max="9738" width="20.140625" style="527" customWidth="1"/>
    <col min="9739" max="9739" width="13" style="527" customWidth="1"/>
    <col min="9740" max="9742" width="8.7109375" style="527" customWidth="1"/>
    <col min="9743" max="9744" width="11.5703125" style="527" customWidth="1"/>
    <col min="9745" max="9745" width="0" style="527" hidden="1" customWidth="1"/>
    <col min="9746" max="9747" width="11.5703125" style="527" customWidth="1"/>
    <col min="9748" max="9749" width="10.5703125" style="527" customWidth="1"/>
    <col min="9750" max="9750" width="0" style="527" hidden="1" customWidth="1"/>
    <col min="9751" max="9753" width="10.5703125" style="527" customWidth="1"/>
    <col min="9754" max="9754" width="59.7109375" style="527" customWidth="1"/>
    <col min="9755" max="9755" width="5" style="527" customWidth="1"/>
    <col min="9756" max="9756" width="16.140625" style="527" customWidth="1"/>
    <col min="9757" max="9757" width="14.140625" style="527" customWidth="1"/>
    <col min="9758" max="9758" width="13.140625" style="527" customWidth="1"/>
    <col min="9759" max="9759" width="22.42578125" style="527" customWidth="1"/>
    <col min="9760" max="9760" width="22" style="527" customWidth="1"/>
    <col min="9761" max="9761" width="2.7109375" style="527" customWidth="1"/>
    <col min="9762" max="9762" width="16.42578125" style="527" bestFit="1" customWidth="1"/>
    <col min="9763" max="9764" width="22" style="527" customWidth="1"/>
    <col min="9765" max="9765" width="21" style="527" customWidth="1"/>
    <col min="9766" max="9766" width="15.140625" style="527" customWidth="1"/>
    <col min="9767" max="9767" width="17.42578125" style="527" customWidth="1"/>
    <col min="9768" max="9768" width="19.42578125" style="527" customWidth="1"/>
    <col min="9769" max="9987" width="9.140625" style="527"/>
    <col min="9988" max="9988" width="111.7109375" style="527" customWidth="1"/>
    <col min="9989" max="9991" width="0" style="527" hidden="1" customWidth="1"/>
    <col min="9992" max="9994" width="20.140625" style="527" customWidth="1"/>
    <col min="9995" max="9995" width="13" style="527" customWidth="1"/>
    <col min="9996" max="9998" width="8.7109375" style="527" customWidth="1"/>
    <col min="9999" max="10000" width="11.5703125" style="527" customWidth="1"/>
    <col min="10001" max="10001" width="0" style="527" hidden="1" customWidth="1"/>
    <col min="10002" max="10003" width="11.5703125" style="527" customWidth="1"/>
    <col min="10004" max="10005" width="10.5703125" style="527" customWidth="1"/>
    <col min="10006" max="10006" width="0" style="527" hidden="1" customWidth="1"/>
    <col min="10007" max="10009" width="10.5703125" style="527" customWidth="1"/>
    <col min="10010" max="10010" width="59.7109375" style="527" customWidth="1"/>
    <col min="10011" max="10011" width="5" style="527" customWidth="1"/>
    <col min="10012" max="10012" width="16.140625" style="527" customWidth="1"/>
    <col min="10013" max="10013" width="14.140625" style="527" customWidth="1"/>
    <col min="10014" max="10014" width="13.140625" style="527" customWidth="1"/>
    <col min="10015" max="10015" width="22.42578125" style="527" customWidth="1"/>
    <col min="10016" max="10016" width="22" style="527" customWidth="1"/>
    <col min="10017" max="10017" width="2.7109375" style="527" customWidth="1"/>
    <col min="10018" max="10018" width="16.42578125" style="527" bestFit="1" customWidth="1"/>
    <col min="10019" max="10020" width="22" style="527" customWidth="1"/>
    <col min="10021" max="10021" width="21" style="527" customWidth="1"/>
    <col min="10022" max="10022" width="15.140625" style="527" customWidth="1"/>
    <col min="10023" max="10023" width="17.42578125" style="527" customWidth="1"/>
    <col min="10024" max="10024" width="19.42578125" style="527" customWidth="1"/>
    <col min="10025" max="10243" width="9.140625" style="527"/>
    <col min="10244" max="10244" width="111.7109375" style="527" customWidth="1"/>
    <col min="10245" max="10247" width="0" style="527" hidden="1" customWidth="1"/>
    <col min="10248" max="10250" width="20.140625" style="527" customWidth="1"/>
    <col min="10251" max="10251" width="13" style="527" customWidth="1"/>
    <col min="10252" max="10254" width="8.7109375" style="527" customWidth="1"/>
    <col min="10255" max="10256" width="11.5703125" style="527" customWidth="1"/>
    <col min="10257" max="10257" width="0" style="527" hidden="1" customWidth="1"/>
    <col min="10258" max="10259" width="11.5703125" style="527" customWidth="1"/>
    <col min="10260" max="10261" width="10.5703125" style="527" customWidth="1"/>
    <col min="10262" max="10262" width="0" style="527" hidden="1" customWidth="1"/>
    <col min="10263" max="10265" width="10.5703125" style="527" customWidth="1"/>
    <col min="10266" max="10266" width="59.7109375" style="527" customWidth="1"/>
    <col min="10267" max="10267" width="5" style="527" customWidth="1"/>
    <col min="10268" max="10268" width="16.140625" style="527" customWidth="1"/>
    <col min="10269" max="10269" width="14.140625" style="527" customWidth="1"/>
    <col min="10270" max="10270" width="13.140625" style="527" customWidth="1"/>
    <col min="10271" max="10271" width="22.42578125" style="527" customWidth="1"/>
    <col min="10272" max="10272" width="22" style="527" customWidth="1"/>
    <col min="10273" max="10273" width="2.7109375" style="527" customWidth="1"/>
    <col min="10274" max="10274" width="16.42578125" style="527" bestFit="1" customWidth="1"/>
    <col min="10275" max="10276" width="22" style="527" customWidth="1"/>
    <col min="10277" max="10277" width="21" style="527" customWidth="1"/>
    <col min="10278" max="10278" width="15.140625" style="527" customWidth="1"/>
    <col min="10279" max="10279" width="17.42578125" style="527" customWidth="1"/>
    <col min="10280" max="10280" width="19.42578125" style="527" customWidth="1"/>
    <col min="10281" max="10499" width="9.140625" style="527"/>
    <col min="10500" max="10500" width="111.7109375" style="527" customWidth="1"/>
    <col min="10501" max="10503" width="0" style="527" hidden="1" customWidth="1"/>
    <col min="10504" max="10506" width="20.140625" style="527" customWidth="1"/>
    <col min="10507" max="10507" width="13" style="527" customWidth="1"/>
    <col min="10508" max="10510" width="8.7109375" style="527" customWidth="1"/>
    <col min="10511" max="10512" width="11.5703125" style="527" customWidth="1"/>
    <col min="10513" max="10513" width="0" style="527" hidden="1" customWidth="1"/>
    <col min="10514" max="10515" width="11.5703125" style="527" customWidth="1"/>
    <col min="10516" max="10517" width="10.5703125" style="527" customWidth="1"/>
    <col min="10518" max="10518" width="0" style="527" hidden="1" customWidth="1"/>
    <col min="10519" max="10521" width="10.5703125" style="527" customWidth="1"/>
    <col min="10522" max="10522" width="59.7109375" style="527" customWidth="1"/>
    <col min="10523" max="10523" width="5" style="527" customWidth="1"/>
    <col min="10524" max="10524" width="16.140625" style="527" customWidth="1"/>
    <col min="10525" max="10525" width="14.140625" style="527" customWidth="1"/>
    <col min="10526" max="10526" width="13.140625" style="527" customWidth="1"/>
    <col min="10527" max="10527" width="22.42578125" style="527" customWidth="1"/>
    <col min="10528" max="10528" width="22" style="527" customWidth="1"/>
    <col min="10529" max="10529" width="2.7109375" style="527" customWidth="1"/>
    <col min="10530" max="10530" width="16.42578125" style="527" bestFit="1" customWidth="1"/>
    <col min="10531" max="10532" width="22" style="527" customWidth="1"/>
    <col min="10533" max="10533" width="21" style="527" customWidth="1"/>
    <col min="10534" max="10534" width="15.140625" style="527" customWidth="1"/>
    <col min="10535" max="10535" width="17.42578125" style="527" customWidth="1"/>
    <col min="10536" max="10536" width="19.42578125" style="527" customWidth="1"/>
    <col min="10537" max="10755" width="9.140625" style="527"/>
    <col min="10756" max="10756" width="111.7109375" style="527" customWidth="1"/>
    <col min="10757" max="10759" width="0" style="527" hidden="1" customWidth="1"/>
    <col min="10760" max="10762" width="20.140625" style="527" customWidth="1"/>
    <col min="10763" max="10763" width="13" style="527" customWidth="1"/>
    <col min="10764" max="10766" width="8.7109375" style="527" customWidth="1"/>
    <col min="10767" max="10768" width="11.5703125" style="527" customWidth="1"/>
    <col min="10769" max="10769" width="0" style="527" hidden="1" customWidth="1"/>
    <col min="10770" max="10771" width="11.5703125" style="527" customWidth="1"/>
    <col min="10772" max="10773" width="10.5703125" style="527" customWidth="1"/>
    <col min="10774" max="10774" width="0" style="527" hidden="1" customWidth="1"/>
    <col min="10775" max="10777" width="10.5703125" style="527" customWidth="1"/>
    <col min="10778" max="10778" width="59.7109375" style="527" customWidth="1"/>
    <col min="10779" max="10779" width="5" style="527" customWidth="1"/>
    <col min="10780" max="10780" width="16.140625" style="527" customWidth="1"/>
    <col min="10781" max="10781" width="14.140625" style="527" customWidth="1"/>
    <col min="10782" max="10782" width="13.140625" style="527" customWidth="1"/>
    <col min="10783" max="10783" width="22.42578125" style="527" customWidth="1"/>
    <col min="10784" max="10784" width="22" style="527" customWidth="1"/>
    <col min="10785" max="10785" width="2.7109375" style="527" customWidth="1"/>
    <col min="10786" max="10786" width="16.42578125" style="527" bestFit="1" customWidth="1"/>
    <col min="10787" max="10788" width="22" style="527" customWidth="1"/>
    <col min="10789" max="10789" width="21" style="527" customWidth="1"/>
    <col min="10790" max="10790" width="15.140625" style="527" customWidth="1"/>
    <col min="10791" max="10791" width="17.42578125" style="527" customWidth="1"/>
    <col min="10792" max="10792" width="19.42578125" style="527" customWidth="1"/>
    <col min="10793" max="11011" width="9.140625" style="527"/>
    <col min="11012" max="11012" width="111.7109375" style="527" customWidth="1"/>
    <col min="11013" max="11015" width="0" style="527" hidden="1" customWidth="1"/>
    <col min="11016" max="11018" width="20.140625" style="527" customWidth="1"/>
    <col min="11019" max="11019" width="13" style="527" customWidth="1"/>
    <col min="11020" max="11022" width="8.7109375" style="527" customWidth="1"/>
    <col min="11023" max="11024" width="11.5703125" style="527" customWidth="1"/>
    <col min="11025" max="11025" width="0" style="527" hidden="1" customWidth="1"/>
    <col min="11026" max="11027" width="11.5703125" style="527" customWidth="1"/>
    <col min="11028" max="11029" width="10.5703125" style="527" customWidth="1"/>
    <col min="11030" max="11030" width="0" style="527" hidden="1" customWidth="1"/>
    <col min="11031" max="11033" width="10.5703125" style="527" customWidth="1"/>
    <col min="11034" max="11034" width="59.7109375" style="527" customWidth="1"/>
    <col min="11035" max="11035" width="5" style="527" customWidth="1"/>
    <col min="11036" max="11036" width="16.140625" style="527" customWidth="1"/>
    <col min="11037" max="11037" width="14.140625" style="527" customWidth="1"/>
    <col min="11038" max="11038" width="13.140625" style="527" customWidth="1"/>
    <col min="11039" max="11039" width="22.42578125" style="527" customWidth="1"/>
    <col min="11040" max="11040" width="22" style="527" customWidth="1"/>
    <col min="11041" max="11041" width="2.7109375" style="527" customWidth="1"/>
    <col min="11042" max="11042" width="16.42578125" style="527" bestFit="1" customWidth="1"/>
    <col min="11043" max="11044" width="22" style="527" customWidth="1"/>
    <col min="11045" max="11045" width="21" style="527" customWidth="1"/>
    <col min="11046" max="11046" width="15.140625" style="527" customWidth="1"/>
    <col min="11047" max="11047" width="17.42578125" style="527" customWidth="1"/>
    <col min="11048" max="11048" width="19.42578125" style="527" customWidth="1"/>
    <col min="11049" max="11267" width="9.140625" style="527"/>
    <col min="11268" max="11268" width="111.7109375" style="527" customWidth="1"/>
    <col min="11269" max="11271" width="0" style="527" hidden="1" customWidth="1"/>
    <col min="11272" max="11274" width="20.140625" style="527" customWidth="1"/>
    <col min="11275" max="11275" width="13" style="527" customWidth="1"/>
    <col min="11276" max="11278" width="8.7109375" style="527" customWidth="1"/>
    <col min="11279" max="11280" width="11.5703125" style="527" customWidth="1"/>
    <col min="11281" max="11281" width="0" style="527" hidden="1" customWidth="1"/>
    <col min="11282" max="11283" width="11.5703125" style="527" customWidth="1"/>
    <col min="11284" max="11285" width="10.5703125" style="527" customWidth="1"/>
    <col min="11286" max="11286" width="0" style="527" hidden="1" customWidth="1"/>
    <col min="11287" max="11289" width="10.5703125" style="527" customWidth="1"/>
    <col min="11290" max="11290" width="59.7109375" style="527" customWidth="1"/>
    <col min="11291" max="11291" width="5" style="527" customWidth="1"/>
    <col min="11292" max="11292" width="16.140625" style="527" customWidth="1"/>
    <col min="11293" max="11293" width="14.140625" style="527" customWidth="1"/>
    <col min="11294" max="11294" width="13.140625" style="527" customWidth="1"/>
    <col min="11295" max="11295" width="22.42578125" style="527" customWidth="1"/>
    <col min="11296" max="11296" width="22" style="527" customWidth="1"/>
    <col min="11297" max="11297" width="2.7109375" style="527" customWidth="1"/>
    <col min="11298" max="11298" width="16.42578125" style="527" bestFit="1" customWidth="1"/>
    <col min="11299" max="11300" width="22" style="527" customWidth="1"/>
    <col min="11301" max="11301" width="21" style="527" customWidth="1"/>
    <col min="11302" max="11302" width="15.140625" style="527" customWidth="1"/>
    <col min="11303" max="11303" width="17.42578125" style="527" customWidth="1"/>
    <col min="11304" max="11304" width="19.42578125" style="527" customWidth="1"/>
    <col min="11305" max="11523" width="9.140625" style="527"/>
    <col min="11524" max="11524" width="111.7109375" style="527" customWidth="1"/>
    <col min="11525" max="11527" width="0" style="527" hidden="1" customWidth="1"/>
    <col min="11528" max="11530" width="20.140625" style="527" customWidth="1"/>
    <col min="11531" max="11531" width="13" style="527" customWidth="1"/>
    <col min="11532" max="11534" width="8.7109375" style="527" customWidth="1"/>
    <col min="11535" max="11536" width="11.5703125" style="527" customWidth="1"/>
    <col min="11537" max="11537" width="0" style="527" hidden="1" customWidth="1"/>
    <col min="11538" max="11539" width="11.5703125" style="527" customWidth="1"/>
    <col min="11540" max="11541" width="10.5703125" style="527" customWidth="1"/>
    <col min="11542" max="11542" width="0" style="527" hidden="1" customWidth="1"/>
    <col min="11543" max="11545" width="10.5703125" style="527" customWidth="1"/>
    <col min="11546" max="11546" width="59.7109375" style="527" customWidth="1"/>
    <col min="11547" max="11547" width="5" style="527" customWidth="1"/>
    <col min="11548" max="11548" width="16.140625" style="527" customWidth="1"/>
    <col min="11549" max="11549" width="14.140625" style="527" customWidth="1"/>
    <col min="11550" max="11550" width="13.140625" style="527" customWidth="1"/>
    <col min="11551" max="11551" width="22.42578125" style="527" customWidth="1"/>
    <col min="11552" max="11552" width="22" style="527" customWidth="1"/>
    <col min="11553" max="11553" width="2.7109375" style="527" customWidth="1"/>
    <col min="11554" max="11554" width="16.42578125" style="527" bestFit="1" customWidth="1"/>
    <col min="11555" max="11556" width="22" style="527" customWidth="1"/>
    <col min="11557" max="11557" width="21" style="527" customWidth="1"/>
    <col min="11558" max="11558" width="15.140625" style="527" customWidth="1"/>
    <col min="11559" max="11559" width="17.42578125" style="527" customWidth="1"/>
    <col min="11560" max="11560" width="19.42578125" style="527" customWidth="1"/>
    <col min="11561" max="11779" width="9.140625" style="527"/>
    <col min="11780" max="11780" width="111.7109375" style="527" customWidth="1"/>
    <col min="11781" max="11783" width="0" style="527" hidden="1" customWidth="1"/>
    <col min="11784" max="11786" width="20.140625" style="527" customWidth="1"/>
    <col min="11787" max="11787" width="13" style="527" customWidth="1"/>
    <col min="11788" max="11790" width="8.7109375" style="527" customWidth="1"/>
    <col min="11791" max="11792" width="11.5703125" style="527" customWidth="1"/>
    <col min="11793" max="11793" width="0" style="527" hidden="1" customWidth="1"/>
    <col min="11794" max="11795" width="11.5703125" style="527" customWidth="1"/>
    <col min="11796" max="11797" width="10.5703125" style="527" customWidth="1"/>
    <col min="11798" max="11798" width="0" style="527" hidden="1" customWidth="1"/>
    <col min="11799" max="11801" width="10.5703125" style="527" customWidth="1"/>
    <col min="11802" max="11802" width="59.7109375" style="527" customWidth="1"/>
    <col min="11803" max="11803" width="5" style="527" customWidth="1"/>
    <col min="11804" max="11804" width="16.140625" style="527" customWidth="1"/>
    <col min="11805" max="11805" width="14.140625" style="527" customWidth="1"/>
    <col min="11806" max="11806" width="13.140625" style="527" customWidth="1"/>
    <col min="11807" max="11807" width="22.42578125" style="527" customWidth="1"/>
    <col min="11808" max="11808" width="22" style="527" customWidth="1"/>
    <col min="11809" max="11809" width="2.7109375" style="527" customWidth="1"/>
    <col min="11810" max="11810" width="16.42578125" style="527" bestFit="1" customWidth="1"/>
    <col min="11811" max="11812" width="22" style="527" customWidth="1"/>
    <col min="11813" max="11813" width="21" style="527" customWidth="1"/>
    <col min="11814" max="11814" width="15.140625" style="527" customWidth="1"/>
    <col min="11815" max="11815" width="17.42578125" style="527" customWidth="1"/>
    <col min="11816" max="11816" width="19.42578125" style="527" customWidth="1"/>
    <col min="11817" max="12035" width="9.140625" style="527"/>
    <col min="12036" max="12036" width="111.7109375" style="527" customWidth="1"/>
    <col min="12037" max="12039" width="0" style="527" hidden="1" customWidth="1"/>
    <col min="12040" max="12042" width="20.140625" style="527" customWidth="1"/>
    <col min="12043" max="12043" width="13" style="527" customWidth="1"/>
    <col min="12044" max="12046" width="8.7109375" style="527" customWidth="1"/>
    <col min="12047" max="12048" width="11.5703125" style="527" customWidth="1"/>
    <col min="12049" max="12049" width="0" style="527" hidden="1" customWidth="1"/>
    <col min="12050" max="12051" width="11.5703125" style="527" customWidth="1"/>
    <col min="12052" max="12053" width="10.5703125" style="527" customWidth="1"/>
    <col min="12054" max="12054" width="0" style="527" hidden="1" customWidth="1"/>
    <col min="12055" max="12057" width="10.5703125" style="527" customWidth="1"/>
    <col min="12058" max="12058" width="59.7109375" style="527" customWidth="1"/>
    <col min="12059" max="12059" width="5" style="527" customWidth="1"/>
    <col min="12060" max="12060" width="16.140625" style="527" customWidth="1"/>
    <col min="12061" max="12061" width="14.140625" style="527" customWidth="1"/>
    <col min="12062" max="12062" width="13.140625" style="527" customWidth="1"/>
    <col min="12063" max="12063" width="22.42578125" style="527" customWidth="1"/>
    <col min="12064" max="12064" width="22" style="527" customWidth="1"/>
    <col min="12065" max="12065" width="2.7109375" style="527" customWidth="1"/>
    <col min="12066" max="12066" width="16.42578125" style="527" bestFit="1" customWidth="1"/>
    <col min="12067" max="12068" width="22" style="527" customWidth="1"/>
    <col min="12069" max="12069" width="21" style="527" customWidth="1"/>
    <col min="12070" max="12070" width="15.140625" style="527" customWidth="1"/>
    <col min="12071" max="12071" width="17.42578125" style="527" customWidth="1"/>
    <col min="12072" max="12072" width="19.42578125" style="527" customWidth="1"/>
    <col min="12073" max="12291" width="9.140625" style="527"/>
    <col min="12292" max="12292" width="111.7109375" style="527" customWidth="1"/>
    <col min="12293" max="12295" width="0" style="527" hidden="1" customWidth="1"/>
    <col min="12296" max="12298" width="20.140625" style="527" customWidth="1"/>
    <col min="12299" max="12299" width="13" style="527" customWidth="1"/>
    <col min="12300" max="12302" width="8.7109375" style="527" customWidth="1"/>
    <col min="12303" max="12304" width="11.5703125" style="527" customWidth="1"/>
    <col min="12305" max="12305" width="0" style="527" hidden="1" customWidth="1"/>
    <col min="12306" max="12307" width="11.5703125" style="527" customWidth="1"/>
    <col min="12308" max="12309" width="10.5703125" style="527" customWidth="1"/>
    <col min="12310" max="12310" width="0" style="527" hidden="1" customWidth="1"/>
    <col min="12311" max="12313" width="10.5703125" style="527" customWidth="1"/>
    <col min="12314" max="12314" width="59.7109375" style="527" customWidth="1"/>
    <col min="12315" max="12315" width="5" style="527" customWidth="1"/>
    <col min="12316" max="12316" width="16.140625" style="527" customWidth="1"/>
    <col min="12317" max="12317" width="14.140625" style="527" customWidth="1"/>
    <col min="12318" max="12318" width="13.140625" style="527" customWidth="1"/>
    <col min="12319" max="12319" width="22.42578125" style="527" customWidth="1"/>
    <col min="12320" max="12320" width="22" style="527" customWidth="1"/>
    <col min="12321" max="12321" width="2.7109375" style="527" customWidth="1"/>
    <col min="12322" max="12322" width="16.42578125" style="527" bestFit="1" customWidth="1"/>
    <col min="12323" max="12324" width="22" style="527" customWidth="1"/>
    <col min="12325" max="12325" width="21" style="527" customWidth="1"/>
    <col min="12326" max="12326" width="15.140625" style="527" customWidth="1"/>
    <col min="12327" max="12327" width="17.42578125" style="527" customWidth="1"/>
    <col min="12328" max="12328" width="19.42578125" style="527" customWidth="1"/>
    <col min="12329" max="12547" width="9.140625" style="527"/>
    <col min="12548" max="12548" width="111.7109375" style="527" customWidth="1"/>
    <col min="12549" max="12551" width="0" style="527" hidden="1" customWidth="1"/>
    <col min="12552" max="12554" width="20.140625" style="527" customWidth="1"/>
    <col min="12555" max="12555" width="13" style="527" customWidth="1"/>
    <col min="12556" max="12558" width="8.7109375" style="527" customWidth="1"/>
    <col min="12559" max="12560" width="11.5703125" style="527" customWidth="1"/>
    <col min="12561" max="12561" width="0" style="527" hidden="1" customWidth="1"/>
    <col min="12562" max="12563" width="11.5703125" style="527" customWidth="1"/>
    <col min="12564" max="12565" width="10.5703125" style="527" customWidth="1"/>
    <col min="12566" max="12566" width="0" style="527" hidden="1" customWidth="1"/>
    <col min="12567" max="12569" width="10.5703125" style="527" customWidth="1"/>
    <col min="12570" max="12570" width="59.7109375" style="527" customWidth="1"/>
    <col min="12571" max="12571" width="5" style="527" customWidth="1"/>
    <col min="12572" max="12572" width="16.140625" style="527" customWidth="1"/>
    <col min="12573" max="12573" width="14.140625" style="527" customWidth="1"/>
    <col min="12574" max="12574" width="13.140625" style="527" customWidth="1"/>
    <col min="12575" max="12575" width="22.42578125" style="527" customWidth="1"/>
    <col min="12576" max="12576" width="22" style="527" customWidth="1"/>
    <col min="12577" max="12577" width="2.7109375" style="527" customWidth="1"/>
    <col min="12578" max="12578" width="16.42578125" style="527" bestFit="1" customWidth="1"/>
    <col min="12579" max="12580" width="22" style="527" customWidth="1"/>
    <col min="12581" max="12581" width="21" style="527" customWidth="1"/>
    <col min="12582" max="12582" width="15.140625" style="527" customWidth="1"/>
    <col min="12583" max="12583" width="17.42578125" style="527" customWidth="1"/>
    <col min="12584" max="12584" width="19.42578125" style="527" customWidth="1"/>
    <col min="12585" max="12803" width="9.140625" style="527"/>
    <col min="12804" max="12804" width="111.7109375" style="527" customWidth="1"/>
    <col min="12805" max="12807" width="0" style="527" hidden="1" customWidth="1"/>
    <col min="12808" max="12810" width="20.140625" style="527" customWidth="1"/>
    <col min="12811" max="12811" width="13" style="527" customWidth="1"/>
    <col min="12812" max="12814" width="8.7109375" style="527" customWidth="1"/>
    <col min="12815" max="12816" width="11.5703125" style="527" customWidth="1"/>
    <col min="12817" max="12817" width="0" style="527" hidden="1" customWidth="1"/>
    <col min="12818" max="12819" width="11.5703125" style="527" customWidth="1"/>
    <col min="12820" max="12821" width="10.5703125" style="527" customWidth="1"/>
    <col min="12822" max="12822" width="0" style="527" hidden="1" customWidth="1"/>
    <col min="12823" max="12825" width="10.5703125" style="527" customWidth="1"/>
    <col min="12826" max="12826" width="59.7109375" style="527" customWidth="1"/>
    <col min="12827" max="12827" width="5" style="527" customWidth="1"/>
    <col min="12828" max="12828" width="16.140625" style="527" customWidth="1"/>
    <col min="12829" max="12829" width="14.140625" style="527" customWidth="1"/>
    <col min="12830" max="12830" width="13.140625" style="527" customWidth="1"/>
    <col min="12831" max="12831" width="22.42578125" style="527" customWidth="1"/>
    <col min="12832" max="12832" width="22" style="527" customWidth="1"/>
    <col min="12833" max="12833" width="2.7109375" style="527" customWidth="1"/>
    <col min="12834" max="12834" width="16.42578125" style="527" bestFit="1" customWidth="1"/>
    <col min="12835" max="12836" width="22" style="527" customWidth="1"/>
    <col min="12837" max="12837" width="21" style="527" customWidth="1"/>
    <col min="12838" max="12838" width="15.140625" style="527" customWidth="1"/>
    <col min="12839" max="12839" width="17.42578125" style="527" customWidth="1"/>
    <col min="12840" max="12840" width="19.42578125" style="527" customWidth="1"/>
    <col min="12841" max="13059" width="9.140625" style="527"/>
    <col min="13060" max="13060" width="111.7109375" style="527" customWidth="1"/>
    <col min="13061" max="13063" width="0" style="527" hidden="1" customWidth="1"/>
    <col min="13064" max="13066" width="20.140625" style="527" customWidth="1"/>
    <col min="13067" max="13067" width="13" style="527" customWidth="1"/>
    <col min="13068" max="13070" width="8.7109375" style="527" customWidth="1"/>
    <col min="13071" max="13072" width="11.5703125" style="527" customWidth="1"/>
    <col min="13073" max="13073" width="0" style="527" hidden="1" customWidth="1"/>
    <col min="13074" max="13075" width="11.5703125" style="527" customWidth="1"/>
    <col min="13076" max="13077" width="10.5703125" style="527" customWidth="1"/>
    <col min="13078" max="13078" width="0" style="527" hidden="1" customWidth="1"/>
    <col min="13079" max="13081" width="10.5703125" style="527" customWidth="1"/>
    <col min="13082" max="13082" width="59.7109375" style="527" customWidth="1"/>
    <col min="13083" max="13083" width="5" style="527" customWidth="1"/>
    <col min="13084" max="13084" width="16.140625" style="527" customWidth="1"/>
    <col min="13085" max="13085" width="14.140625" style="527" customWidth="1"/>
    <col min="13086" max="13086" width="13.140625" style="527" customWidth="1"/>
    <col min="13087" max="13087" width="22.42578125" style="527" customWidth="1"/>
    <col min="13088" max="13088" width="22" style="527" customWidth="1"/>
    <col min="13089" max="13089" width="2.7109375" style="527" customWidth="1"/>
    <col min="13090" max="13090" width="16.42578125" style="527" bestFit="1" customWidth="1"/>
    <col min="13091" max="13092" width="22" style="527" customWidth="1"/>
    <col min="13093" max="13093" width="21" style="527" customWidth="1"/>
    <col min="13094" max="13094" width="15.140625" style="527" customWidth="1"/>
    <col min="13095" max="13095" width="17.42578125" style="527" customWidth="1"/>
    <col min="13096" max="13096" width="19.42578125" style="527" customWidth="1"/>
    <col min="13097" max="13315" width="9.140625" style="527"/>
    <col min="13316" max="13316" width="111.7109375" style="527" customWidth="1"/>
    <col min="13317" max="13319" width="0" style="527" hidden="1" customWidth="1"/>
    <col min="13320" max="13322" width="20.140625" style="527" customWidth="1"/>
    <col min="13323" max="13323" width="13" style="527" customWidth="1"/>
    <col min="13324" max="13326" width="8.7109375" style="527" customWidth="1"/>
    <col min="13327" max="13328" width="11.5703125" style="527" customWidth="1"/>
    <col min="13329" max="13329" width="0" style="527" hidden="1" customWidth="1"/>
    <col min="13330" max="13331" width="11.5703125" style="527" customWidth="1"/>
    <col min="13332" max="13333" width="10.5703125" style="527" customWidth="1"/>
    <col min="13334" max="13334" width="0" style="527" hidden="1" customWidth="1"/>
    <col min="13335" max="13337" width="10.5703125" style="527" customWidth="1"/>
    <col min="13338" max="13338" width="59.7109375" style="527" customWidth="1"/>
    <col min="13339" max="13339" width="5" style="527" customWidth="1"/>
    <col min="13340" max="13340" width="16.140625" style="527" customWidth="1"/>
    <col min="13341" max="13341" width="14.140625" style="527" customWidth="1"/>
    <col min="13342" max="13342" width="13.140625" style="527" customWidth="1"/>
    <col min="13343" max="13343" width="22.42578125" style="527" customWidth="1"/>
    <col min="13344" max="13344" width="22" style="527" customWidth="1"/>
    <col min="13345" max="13345" width="2.7109375" style="527" customWidth="1"/>
    <col min="13346" max="13346" width="16.42578125" style="527" bestFit="1" customWidth="1"/>
    <col min="13347" max="13348" width="22" style="527" customWidth="1"/>
    <col min="13349" max="13349" width="21" style="527" customWidth="1"/>
    <col min="13350" max="13350" width="15.140625" style="527" customWidth="1"/>
    <col min="13351" max="13351" width="17.42578125" style="527" customWidth="1"/>
    <col min="13352" max="13352" width="19.42578125" style="527" customWidth="1"/>
    <col min="13353" max="13571" width="9.140625" style="527"/>
    <col min="13572" max="13572" width="111.7109375" style="527" customWidth="1"/>
    <col min="13573" max="13575" width="0" style="527" hidden="1" customWidth="1"/>
    <col min="13576" max="13578" width="20.140625" style="527" customWidth="1"/>
    <col min="13579" max="13579" width="13" style="527" customWidth="1"/>
    <col min="13580" max="13582" width="8.7109375" style="527" customWidth="1"/>
    <col min="13583" max="13584" width="11.5703125" style="527" customWidth="1"/>
    <col min="13585" max="13585" width="0" style="527" hidden="1" customWidth="1"/>
    <col min="13586" max="13587" width="11.5703125" style="527" customWidth="1"/>
    <col min="13588" max="13589" width="10.5703125" style="527" customWidth="1"/>
    <col min="13590" max="13590" width="0" style="527" hidden="1" customWidth="1"/>
    <col min="13591" max="13593" width="10.5703125" style="527" customWidth="1"/>
    <col min="13594" max="13594" width="59.7109375" style="527" customWidth="1"/>
    <col min="13595" max="13595" width="5" style="527" customWidth="1"/>
    <col min="13596" max="13596" width="16.140625" style="527" customWidth="1"/>
    <col min="13597" max="13597" width="14.140625" style="527" customWidth="1"/>
    <col min="13598" max="13598" width="13.140625" style="527" customWidth="1"/>
    <col min="13599" max="13599" width="22.42578125" style="527" customWidth="1"/>
    <col min="13600" max="13600" width="22" style="527" customWidth="1"/>
    <col min="13601" max="13601" width="2.7109375" style="527" customWidth="1"/>
    <col min="13602" max="13602" width="16.42578125" style="527" bestFit="1" customWidth="1"/>
    <col min="13603" max="13604" width="22" style="527" customWidth="1"/>
    <col min="13605" max="13605" width="21" style="527" customWidth="1"/>
    <col min="13606" max="13606" width="15.140625" style="527" customWidth="1"/>
    <col min="13607" max="13607" width="17.42578125" style="527" customWidth="1"/>
    <col min="13608" max="13608" width="19.42578125" style="527" customWidth="1"/>
    <col min="13609" max="13827" width="9.140625" style="527"/>
    <col min="13828" max="13828" width="111.7109375" style="527" customWidth="1"/>
    <col min="13829" max="13831" width="0" style="527" hidden="1" customWidth="1"/>
    <col min="13832" max="13834" width="20.140625" style="527" customWidth="1"/>
    <col min="13835" max="13835" width="13" style="527" customWidth="1"/>
    <col min="13836" max="13838" width="8.7109375" style="527" customWidth="1"/>
    <col min="13839" max="13840" width="11.5703125" style="527" customWidth="1"/>
    <col min="13841" max="13841" width="0" style="527" hidden="1" customWidth="1"/>
    <col min="13842" max="13843" width="11.5703125" style="527" customWidth="1"/>
    <col min="13844" max="13845" width="10.5703125" style="527" customWidth="1"/>
    <col min="13846" max="13846" width="0" style="527" hidden="1" customWidth="1"/>
    <col min="13847" max="13849" width="10.5703125" style="527" customWidth="1"/>
    <col min="13850" max="13850" width="59.7109375" style="527" customWidth="1"/>
    <col min="13851" max="13851" width="5" style="527" customWidth="1"/>
    <col min="13852" max="13852" width="16.140625" style="527" customWidth="1"/>
    <col min="13853" max="13853" width="14.140625" style="527" customWidth="1"/>
    <col min="13854" max="13854" width="13.140625" style="527" customWidth="1"/>
    <col min="13855" max="13855" width="22.42578125" style="527" customWidth="1"/>
    <col min="13856" max="13856" width="22" style="527" customWidth="1"/>
    <col min="13857" max="13857" width="2.7109375" style="527" customWidth="1"/>
    <col min="13858" max="13858" width="16.42578125" style="527" bestFit="1" customWidth="1"/>
    <col min="13859" max="13860" width="22" style="527" customWidth="1"/>
    <col min="13861" max="13861" width="21" style="527" customWidth="1"/>
    <col min="13862" max="13862" width="15.140625" style="527" customWidth="1"/>
    <col min="13863" max="13863" width="17.42578125" style="527" customWidth="1"/>
    <col min="13864" max="13864" width="19.42578125" style="527" customWidth="1"/>
    <col min="13865" max="14083" width="9.140625" style="527"/>
    <col min="14084" max="14084" width="111.7109375" style="527" customWidth="1"/>
    <col min="14085" max="14087" width="0" style="527" hidden="1" customWidth="1"/>
    <col min="14088" max="14090" width="20.140625" style="527" customWidth="1"/>
    <col min="14091" max="14091" width="13" style="527" customWidth="1"/>
    <col min="14092" max="14094" width="8.7109375" style="527" customWidth="1"/>
    <col min="14095" max="14096" width="11.5703125" style="527" customWidth="1"/>
    <col min="14097" max="14097" width="0" style="527" hidden="1" customWidth="1"/>
    <col min="14098" max="14099" width="11.5703125" style="527" customWidth="1"/>
    <col min="14100" max="14101" width="10.5703125" style="527" customWidth="1"/>
    <col min="14102" max="14102" width="0" style="527" hidden="1" customWidth="1"/>
    <col min="14103" max="14105" width="10.5703125" style="527" customWidth="1"/>
    <col min="14106" max="14106" width="59.7109375" style="527" customWidth="1"/>
    <col min="14107" max="14107" width="5" style="527" customWidth="1"/>
    <col min="14108" max="14108" width="16.140625" style="527" customWidth="1"/>
    <col min="14109" max="14109" width="14.140625" style="527" customWidth="1"/>
    <col min="14110" max="14110" width="13.140625" style="527" customWidth="1"/>
    <col min="14111" max="14111" width="22.42578125" style="527" customWidth="1"/>
    <col min="14112" max="14112" width="22" style="527" customWidth="1"/>
    <col min="14113" max="14113" width="2.7109375" style="527" customWidth="1"/>
    <col min="14114" max="14114" width="16.42578125" style="527" bestFit="1" customWidth="1"/>
    <col min="14115" max="14116" width="22" style="527" customWidth="1"/>
    <col min="14117" max="14117" width="21" style="527" customWidth="1"/>
    <col min="14118" max="14118" width="15.140625" style="527" customWidth="1"/>
    <col min="14119" max="14119" width="17.42578125" style="527" customWidth="1"/>
    <col min="14120" max="14120" width="19.42578125" style="527" customWidth="1"/>
    <col min="14121" max="14339" width="9.140625" style="527"/>
    <col min="14340" max="14340" width="111.7109375" style="527" customWidth="1"/>
    <col min="14341" max="14343" width="0" style="527" hidden="1" customWidth="1"/>
    <col min="14344" max="14346" width="20.140625" style="527" customWidth="1"/>
    <col min="14347" max="14347" width="13" style="527" customWidth="1"/>
    <col min="14348" max="14350" width="8.7109375" style="527" customWidth="1"/>
    <col min="14351" max="14352" width="11.5703125" style="527" customWidth="1"/>
    <col min="14353" max="14353" width="0" style="527" hidden="1" customWidth="1"/>
    <col min="14354" max="14355" width="11.5703125" style="527" customWidth="1"/>
    <col min="14356" max="14357" width="10.5703125" style="527" customWidth="1"/>
    <col min="14358" max="14358" width="0" style="527" hidden="1" customWidth="1"/>
    <col min="14359" max="14361" width="10.5703125" style="527" customWidth="1"/>
    <col min="14362" max="14362" width="59.7109375" style="527" customWidth="1"/>
    <col min="14363" max="14363" width="5" style="527" customWidth="1"/>
    <col min="14364" max="14364" width="16.140625" style="527" customWidth="1"/>
    <col min="14365" max="14365" width="14.140625" style="527" customWidth="1"/>
    <col min="14366" max="14366" width="13.140625" style="527" customWidth="1"/>
    <col min="14367" max="14367" width="22.42578125" style="527" customWidth="1"/>
    <col min="14368" max="14368" width="22" style="527" customWidth="1"/>
    <col min="14369" max="14369" width="2.7109375" style="527" customWidth="1"/>
    <col min="14370" max="14370" width="16.42578125" style="527" bestFit="1" customWidth="1"/>
    <col min="14371" max="14372" width="22" style="527" customWidth="1"/>
    <col min="14373" max="14373" width="21" style="527" customWidth="1"/>
    <col min="14374" max="14374" width="15.140625" style="527" customWidth="1"/>
    <col min="14375" max="14375" width="17.42578125" style="527" customWidth="1"/>
    <col min="14376" max="14376" width="19.42578125" style="527" customWidth="1"/>
    <col min="14377" max="14595" width="9.140625" style="527"/>
    <col min="14596" max="14596" width="111.7109375" style="527" customWidth="1"/>
    <col min="14597" max="14599" width="0" style="527" hidden="1" customWidth="1"/>
    <col min="14600" max="14602" width="20.140625" style="527" customWidth="1"/>
    <col min="14603" max="14603" width="13" style="527" customWidth="1"/>
    <col min="14604" max="14606" width="8.7109375" style="527" customWidth="1"/>
    <col min="14607" max="14608" width="11.5703125" style="527" customWidth="1"/>
    <col min="14609" max="14609" width="0" style="527" hidden="1" customWidth="1"/>
    <col min="14610" max="14611" width="11.5703125" style="527" customWidth="1"/>
    <col min="14612" max="14613" width="10.5703125" style="527" customWidth="1"/>
    <col min="14614" max="14614" width="0" style="527" hidden="1" customWidth="1"/>
    <col min="14615" max="14617" width="10.5703125" style="527" customWidth="1"/>
    <col min="14618" max="14618" width="59.7109375" style="527" customWidth="1"/>
    <col min="14619" max="14619" width="5" style="527" customWidth="1"/>
    <col min="14620" max="14620" width="16.140625" style="527" customWidth="1"/>
    <col min="14621" max="14621" width="14.140625" style="527" customWidth="1"/>
    <col min="14622" max="14622" width="13.140625" style="527" customWidth="1"/>
    <col min="14623" max="14623" width="22.42578125" style="527" customWidth="1"/>
    <col min="14624" max="14624" width="22" style="527" customWidth="1"/>
    <col min="14625" max="14625" width="2.7109375" style="527" customWidth="1"/>
    <col min="14626" max="14626" width="16.42578125" style="527" bestFit="1" customWidth="1"/>
    <col min="14627" max="14628" width="22" style="527" customWidth="1"/>
    <col min="14629" max="14629" width="21" style="527" customWidth="1"/>
    <col min="14630" max="14630" width="15.140625" style="527" customWidth="1"/>
    <col min="14631" max="14631" width="17.42578125" style="527" customWidth="1"/>
    <col min="14632" max="14632" width="19.42578125" style="527" customWidth="1"/>
    <col min="14633" max="14851" width="9.140625" style="527"/>
    <col min="14852" max="14852" width="111.7109375" style="527" customWidth="1"/>
    <col min="14853" max="14855" width="0" style="527" hidden="1" customWidth="1"/>
    <col min="14856" max="14858" width="20.140625" style="527" customWidth="1"/>
    <col min="14859" max="14859" width="13" style="527" customWidth="1"/>
    <col min="14860" max="14862" width="8.7109375" style="527" customWidth="1"/>
    <col min="14863" max="14864" width="11.5703125" style="527" customWidth="1"/>
    <col min="14865" max="14865" width="0" style="527" hidden="1" customWidth="1"/>
    <col min="14866" max="14867" width="11.5703125" style="527" customWidth="1"/>
    <col min="14868" max="14869" width="10.5703125" style="527" customWidth="1"/>
    <col min="14870" max="14870" width="0" style="527" hidden="1" customWidth="1"/>
    <col min="14871" max="14873" width="10.5703125" style="527" customWidth="1"/>
    <col min="14874" max="14874" width="59.7109375" style="527" customWidth="1"/>
    <col min="14875" max="14875" width="5" style="527" customWidth="1"/>
    <col min="14876" max="14876" width="16.140625" style="527" customWidth="1"/>
    <col min="14877" max="14877" width="14.140625" style="527" customWidth="1"/>
    <col min="14878" max="14878" width="13.140625" style="527" customWidth="1"/>
    <col min="14879" max="14879" width="22.42578125" style="527" customWidth="1"/>
    <col min="14880" max="14880" width="22" style="527" customWidth="1"/>
    <col min="14881" max="14881" width="2.7109375" style="527" customWidth="1"/>
    <col min="14882" max="14882" width="16.42578125" style="527" bestFit="1" customWidth="1"/>
    <col min="14883" max="14884" width="22" style="527" customWidth="1"/>
    <col min="14885" max="14885" width="21" style="527" customWidth="1"/>
    <col min="14886" max="14886" width="15.140625" style="527" customWidth="1"/>
    <col min="14887" max="14887" width="17.42578125" style="527" customWidth="1"/>
    <col min="14888" max="14888" width="19.42578125" style="527" customWidth="1"/>
    <col min="14889" max="15107" width="9.140625" style="527"/>
    <col min="15108" max="15108" width="111.7109375" style="527" customWidth="1"/>
    <col min="15109" max="15111" width="0" style="527" hidden="1" customWidth="1"/>
    <col min="15112" max="15114" width="20.140625" style="527" customWidth="1"/>
    <col min="15115" max="15115" width="13" style="527" customWidth="1"/>
    <col min="15116" max="15118" width="8.7109375" style="527" customWidth="1"/>
    <col min="15119" max="15120" width="11.5703125" style="527" customWidth="1"/>
    <col min="15121" max="15121" width="0" style="527" hidden="1" customWidth="1"/>
    <col min="15122" max="15123" width="11.5703125" style="527" customWidth="1"/>
    <col min="15124" max="15125" width="10.5703125" style="527" customWidth="1"/>
    <col min="15126" max="15126" width="0" style="527" hidden="1" customWidth="1"/>
    <col min="15127" max="15129" width="10.5703125" style="527" customWidth="1"/>
    <col min="15130" max="15130" width="59.7109375" style="527" customWidth="1"/>
    <col min="15131" max="15131" width="5" style="527" customWidth="1"/>
    <col min="15132" max="15132" width="16.140625" style="527" customWidth="1"/>
    <col min="15133" max="15133" width="14.140625" style="527" customWidth="1"/>
    <col min="15134" max="15134" width="13.140625" style="527" customWidth="1"/>
    <col min="15135" max="15135" width="22.42578125" style="527" customWidth="1"/>
    <col min="15136" max="15136" width="22" style="527" customWidth="1"/>
    <col min="15137" max="15137" width="2.7109375" style="527" customWidth="1"/>
    <col min="15138" max="15138" width="16.42578125" style="527" bestFit="1" customWidth="1"/>
    <col min="15139" max="15140" width="22" style="527" customWidth="1"/>
    <col min="15141" max="15141" width="21" style="527" customWidth="1"/>
    <col min="15142" max="15142" width="15.140625" style="527" customWidth="1"/>
    <col min="15143" max="15143" width="17.42578125" style="527" customWidth="1"/>
    <col min="15144" max="15144" width="19.42578125" style="527" customWidth="1"/>
    <col min="15145" max="15363" width="9.140625" style="527"/>
    <col min="15364" max="15364" width="111.7109375" style="527" customWidth="1"/>
    <col min="15365" max="15367" width="0" style="527" hidden="1" customWidth="1"/>
    <col min="15368" max="15370" width="20.140625" style="527" customWidth="1"/>
    <col min="15371" max="15371" width="13" style="527" customWidth="1"/>
    <col min="15372" max="15374" width="8.7109375" style="527" customWidth="1"/>
    <col min="15375" max="15376" width="11.5703125" style="527" customWidth="1"/>
    <col min="15377" max="15377" width="0" style="527" hidden="1" customWidth="1"/>
    <col min="15378" max="15379" width="11.5703125" style="527" customWidth="1"/>
    <col min="15380" max="15381" width="10.5703125" style="527" customWidth="1"/>
    <col min="15382" max="15382" width="0" style="527" hidden="1" customWidth="1"/>
    <col min="15383" max="15385" width="10.5703125" style="527" customWidth="1"/>
    <col min="15386" max="15386" width="59.7109375" style="527" customWidth="1"/>
    <col min="15387" max="15387" width="5" style="527" customWidth="1"/>
    <col min="15388" max="15388" width="16.140625" style="527" customWidth="1"/>
    <col min="15389" max="15389" width="14.140625" style="527" customWidth="1"/>
    <col min="15390" max="15390" width="13.140625" style="527" customWidth="1"/>
    <col min="15391" max="15391" width="22.42578125" style="527" customWidth="1"/>
    <col min="15392" max="15392" width="22" style="527" customWidth="1"/>
    <col min="15393" max="15393" width="2.7109375" style="527" customWidth="1"/>
    <col min="15394" max="15394" width="16.42578125" style="527" bestFit="1" customWidth="1"/>
    <col min="15395" max="15396" width="22" style="527" customWidth="1"/>
    <col min="15397" max="15397" width="21" style="527" customWidth="1"/>
    <col min="15398" max="15398" width="15.140625" style="527" customWidth="1"/>
    <col min="15399" max="15399" width="17.42578125" style="527" customWidth="1"/>
    <col min="15400" max="15400" width="19.42578125" style="527" customWidth="1"/>
    <col min="15401" max="15619" width="9.140625" style="527"/>
    <col min="15620" max="15620" width="111.7109375" style="527" customWidth="1"/>
    <col min="15621" max="15623" width="0" style="527" hidden="1" customWidth="1"/>
    <col min="15624" max="15626" width="20.140625" style="527" customWidth="1"/>
    <col min="15627" max="15627" width="13" style="527" customWidth="1"/>
    <col min="15628" max="15630" width="8.7109375" style="527" customWidth="1"/>
    <col min="15631" max="15632" width="11.5703125" style="527" customWidth="1"/>
    <col min="15633" max="15633" width="0" style="527" hidden="1" customWidth="1"/>
    <col min="15634" max="15635" width="11.5703125" style="527" customWidth="1"/>
    <col min="15636" max="15637" width="10.5703125" style="527" customWidth="1"/>
    <col min="15638" max="15638" width="0" style="527" hidden="1" customWidth="1"/>
    <col min="15639" max="15641" width="10.5703125" style="527" customWidth="1"/>
    <col min="15642" max="15642" width="59.7109375" style="527" customWidth="1"/>
    <col min="15643" max="15643" width="5" style="527" customWidth="1"/>
    <col min="15644" max="15644" width="16.140625" style="527" customWidth="1"/>
    <col min="15645" max="15645" width="14.140625" style="527" customWidth="1"/>
    <col min="15646" max="15646" width="13.140625" style="527" customWidth="1"/>
    <col min="15647" max="15647" width="22.42578125" style="527" customWidth="1"/>
    <col min="15648" max="15648" width="22" style="527" customWidth="1"/>
    <col min="15649" max="15649" width="2.7109375" style="527" customWidth="1"/>
    <col min="15650" max="15650" width="16.42578125" style="527" bestFit="1" customWidth="1"/>
    <col min="15651" max="15652" width="22" style="527" customWidth="1"/>
    <col min="15653" max="15653" width="21" style="527" customWidth="1"/>
    <col min="15654" max="15654" width="15.140625" style="527" customWidth="1"/>
    <col min="15655" max="15655" width="17.42578125" style="527" customWidth="1"/>
    <col min="15656" max="15656" width="19.42578125" style="527" customWidth="1"/>
    <col min="15657" max="15875" width="9.140625" style="527"/>
    <col min="15876" max="15876" width="111.7109375" style="527" customWidth="1"/>
    <col min="15877" max="15879" width="0" style="527" hidden="1" customWidth="1"/>
    <col min="15880" max="15882" width="20.140625" style="527" customWidth="1"/>
    <col min="15883" max="15883" width="13" style="527" customWidth="1"/>
    <col min="15884" max="15886" width="8.7109375" style="527" customWidth="1"/>
    <col min="15887" max="15888" width="11.5703125" style="527" customWidth="1"/>
    <col min="15889" max="15889" width="0" style="527" hidden="1" customWidth="1"/>
    <col min="15890" max="15891" width="11.5703125" style="527" customWidth="1"/>
    <col min="15892" max="15893" width="10.5703125" style="527" customWidth="1"/>
    <col min="15894" max="15894" width="0" style="527" hidden="1" customWidth="1"/>
    <col min="15895" max="15897" width="10.5703125" style="527" customWidth="1"/>
    <col min="15898" max="15898" width="59.7109375" style="527" customWidth="1"/>
    <col min="15899" max="15899" width="5" style="527" customWidth="1"/>
    <col min="15900" max="15900" width="16.140625" style="527" customWidth="1"/>
    <col min="15901" max="15901" width="14.140625" style="527" customWidth="1"/>
    <col min="15902" max="15902" width="13.140625" style="527" customWidth="1"/>
    <col min="15903" max="15903" width="22.42578125" style="527" customWidth="1"/>
    <col min="15904" max="15904" width="22" style="527" customWidth="1"/>
    <col min="15905" max="15905" width="2.7109375" style="527" customWidth="1"/>
    <col min="15906" max="15906" width="16.42578125" style="527" bestFit="1" customWidth="1"/>
    <col min="15907" max="15908" width="22" style="527" customWidth="1"/>
    <col min="15909" max="15909" width="21" style="527" customWidth="1"/>
    <col min="15910" max="15910" width="15.140625" style="527" customWidth="1"/>
    <col min="15911" max="15911" width="17.42578125" style="527" customWidth="1"/>
    <col min="15912" max="15912" width="19.42578125" style="527" customWidth="1"/>
    <col min="15913" max="16131" width="9.140625" style="527"/>
    <col min="16132" max="16132" width="111.7109375" style="527" customWidth="1"/>
    <col min="16133" max="16135" width="0" style="527" hidden="1" customWidth="1"/>
    <col min="16136" max="16138" width="20.140625" style="527" customWidth="1"/>
    <col min="16139" max="16139" width="13" style="527" customWidth="1"/>
    <col min="16140" max="16142" width="8.7109375" style="527" customWidth="1"/>
    <col min="16143" max="16144" width="11.5703125" style="527" customWidth="1"/>
    <col min="16145" max="16145" width="0" style="527" hidden="1" customWidth="1"/>
    <col min="16146" max="16147" width="11.5703125" style="527" customWidth="1"/>
    <col min="16148" max="16149" width="10.5703125" style="527" customWidth="1"/>
    <col min="16150" max="16150" width="0" style="527" hidden="1" customWidth="1"/>
    <col min="16151" max="16153" width="10.5703125" style="527" customWidth="1"/>
    <col min="16154" max="16154" width="59.7109375" style="527" customWidth="1"/>
    <col min="16155" max="16155" width="5" style="527" customWidth="1"/>
    <col min="16156" max="16156" width="16.140625" style="527" customWidth="1"/>
    <col min="16157" max="16157" width="14.140625" style="527" customWidth="1"/>
    <col min="16158" max="16158" width="13.140625" style="527" customWidth="1"/>
    <col min="16159" max="16159" width="22.42578125" style="527" customWidth="1"/>
    <col min="16160" max="16160" width="22" style="527" customWidth="1"/>
    <col min="16161" max="16161" width="2.7109375" style="527" customWidth="1"/>
    <col min="16162" max="16162" width="16.42578125" style="527" bestFit="1" customWidth="1"/>
    <col min="16163" max="16164" width="22" style="527" customWidth="1"/>
    <col min="16165" max="16165" width="21" style="527" customWidth="1"/>
    <col min="16166" max="16166" width="15.140625" style="527" customWidth="1"/>
    <col min="16167" max="16167" width="17.42578125" style="527" customWidth="1"/>
    <col min="16168" max="16168" width="19.42578125" style="527" customWidth="1"/>
    <col min="16169" max="16384" width="9.140625" style="527"/>
  </cols>
  <sheetData>
    <row r="1" spans="1:37" s="1412" customFormat="1" ht="26.25" x14ac:dyDescent="0.4">
      <c r="A1" s="1402" t="s">
        <v>677</v>
      </c>
      <c r="B1" s="1403"/>
      <c r="C1" s="1403"/>
      <c r="D1" s="1403"/>
      <c r="E1" s="1404"/>
      <c r="F1" s="1404"/>
      <c r="G1" s="1404"/>
      <c r="H1" s="1405"/>
      <c r="I1" s="1403"/>
      <c r="J1" s="1403"/>
      <c r="K1" s="1403"/>
      <c r="L1" s="1403"/>
      <c r="M1" s="1403"/>
      <c r="N1" s="1403"/>
      <c r="O1" s="2432" t="s">
        <v>366</v>
      </c>
      <c r="P1" s="2432"/>
      <c r="Q1" s="2432"/>
      <c r="R1" s="2432"/>
      <c r="S1" s="2432"/>
      <c r="T1" s="2432"/>
      <c r="U1" s="2432"/>
      <c r="V1" s="2432"/>
      <c r="W1" s="1406"/>
      <c r="X1" s="1407"/>
      <c r="Y1" s="1659"/>
      <c r="Z1" s="1659"/>
      <c r="AA1" s="1659"/>
      <c r="AB1" s="1408"/>
      <c r="AC1" s="1409"/>
      <c r="AD1" s="1409"/>
      <c r="AE1" s="1410"/>
      <c r="AF1" s="1411"/>
      <c r="AG1" s="1410"/>
      <c r="AH1" s="1410"/>
      <c r="AI1" s="1411"/>
      <c r="AJ1" s="1411"/>
      <c r="AK1" s="1410"/>
    </row>
    <row r="2" spans="1:37" s="1412" customFormat="1" ht="51.75" x14ac:dyDescent="0.4">
      <c r="A2" s="1402" t="s">
        <v>678</v>
      </c>
      <c r="B2" s="1403"/>
      <c r="C2" s="1403"/>
      <c r="D2" s="1403"/>
      <c r="E2" s="1404"/>
      <c r="F2" s="1404"/>
      <c r="G2" s="1404"/>
      <c r="H2" s="1405"/>
      <c r="I2" s="1403"/>
      <c r="J2" s="1403"/>
      <c r="K2" s="1403"/>
      <c r="L2" s="1403"/>
      <c r="M2" s="1403"/>
      <c r="N2" s="1403"/>
      <c r="O2" s="2433" t="s">
        <v>679</v>
      </c>
      <c r="P2" s="2432"/>
      <c r="Q2" s="2432"/>
      <c r="R2" s="2432"/>
      <c r="S2" s="2432"/>
      <c r="T2" s="2432"/>
      <c r="U2" s="2432"/>
      <c r="V2" s="2432"/>
      <c r="W2" s="1406"/>
      <c r="X2" s="1407"/>
      <c r="Y2" s="1659"/>
      <c r="Z2" s="1659"/>
      <c r="AA2" s="1659"/>
      <c r="AB2" s="1408"/>
      <c r="AC2" s="1409"/>
      <c r="AD2" s="1409"/>
      <c r="AE2" s="1410"/>
      <c r="AF2" s="1411"/>
      <c r="AG2" s="1410"/>
      <c r="AH2" s="1410"/>
      <c r="AI2" s="1411"/>
      <c r="AJ2" s="1411"/>
      <c r="AK2" s="1410"/>
    </row>
    <row r="3" spans="1:37" s="1425" customFormat="1" ht="7.5" x14ac:dyDescent="0.15">
      <c r="A3" s="1413"/>
      <c r="B3" s="1414"/>
      <c r="C3" s="1414"/>
      <c r="D3" s="1414"/>
      <c r="E3" s="1415"/>
      <c r="F3" s="1415"/>
      <c r="G3" s="1415"/>
      <c r="H3" s="1416"/>
      <c r="I3" s="1414"/>
      <c r="J3" s="1414"/>
      <c r="K3" s="1414"/>
      <c r="L3" s="1414"/>
      <c r="M3" s="1414"/>
      <c r="N3" s="1414"/>
      <c r="O3" s="1417"/>
      <c r="P3" s="1417"/>
      <c r="Q3" s="1417"/>
      <c r="R3" s="1417"/>
      <c r="S3" s="1417"/>
      <c r="T3" s="1418"/>
      <c r="U3" s="1418"/>
      <c r="V3" s="1418"/>
      <c r="W3" s="1419"/>
      <c r="X3" s="1420"/>
      <c r="Y3" s="1660"/>
      <c r="Z3" s="1660"/>
      <c r="AA3" s="1660"/>
      <c r="AB3" s="1421"/>
      <c r="AC3" s="1422"/>
      <c r="AD3" s="1422"/>
      <c r="AE3" s="1423"/>
      <c r="AF3" s="1424"/>
      <c r="AG3" s="1423"/>
      <c r="AH3" s="1423"/>
      <c r="AI3" s="1424"/>
      <c r="AJ3" s="1424"/>
      <c r="AK3" s="1423"/>
    </row>
    <row r="4" spans="1:37" s="1412" customFormat="1" ht="26.25" x14ac:dyDescent="0.4">
      <c r="A4" s="1402" t="s">
        <v>680</v>
      </c>
      <c r="B4" s="1403"/>
      <c r="C4" s="1403"/>
      <c r="D4" s="1403"/>
      <c r="E4" s="1404"/>
      <c r="F4" s="1404"/>
      <c r="G4" s="1404"/>
      <c r="H4" s="1405"/>
      <c r="I4" s="1403"/>
      <c r="J4" s="1403"/>
      <c r="K4" s="1403"/>
      <c r="L4" s="1403"/>
      <c r="M4" s="1403"/>
      <c r="N4" s="1403"/>
      <c r="O4" s="2432" t="s">
        <v>681</v>
      </c>
      <c r="P4" s="2432"/>
      <c r="Q4" s="2432"/>
      <c r="R4" s="2432"/>
      <c r="S4" s="2432"/>
      <c r="T4" s="2432"/>
      <c r="U4" s="2432"/>
      <c r="V4" s="2432"/>
      <c r="W4" s="1406"/>
      <c r="X4" s="1407"/>
      <c r="Y4" s="1659"/>
      <c r="Z4" s="1659"/>
      <c r="AA4" s="1659"/>
      <c r="AB4" s="1408"/>
      <c r="AC4" s="1409"/>
      <c r="AD4" s="1409"/>
      <c r="AE4" s="1410"/>
      <c r="AF4" s="1411"/>
      <c r="AG4" s="1410"/>
      <c r="AH4" s="1410"/>
      <c r="AI4" s="1411"/>
      <c r="AJ4" s="1411"/>
      <c r="AK4" s="1410"/>
    </row>
    <row r="5" spans="1:37" ht="30.75" customHeight="1" x14ac:dyDescent="0.3">
      <c r="A5" s="2434" t="s">
        <v>682</v>
      </c>
      <c r="B5" s="2434"/>
      <c r="C5" s="2434"/>
      <c r="D5" s="2434"/>
      <c r="E5" s="2434"/>
      <c r="F5" s="2434"/>
      <c r="G5" s="2434"/>
      <c r="H5" s="2434"/>
      <c r="I5" s="2434"/>
      <c r="J5" s="2434"/>
      <c r="K5" s="2434"/>
      <c r="L5" s="2434"/>
      <c r="M5" s="2434"/>
      <c r="N5" s="2434"/>
      <c r="O5" s="2434"/>
      <c r="P5" s="2434"/>
      <c r="Q5" s="2434"/>
      <c r="R5" s="2434"/>
      <c r="S5" s="2434"/>
      <c r="T5" s="2434"/>
      <c r="U5" s="2434"/>
      <c r="V5" s="2434"/>
      <c r="W5" s="1426"/>
      <c r="X5" s="1427"/>
      <c r="Y5" s="1657"/>
      <c r="Z5" s="1657"/>
      <c r="AA5" s="1657"/>
      <c r="AB5" s="1428"/>
      <c r="AC5" s="1427"/>
      <c r="AD5" s="1427"/>
      <c r="AE5" s="1429"/>
      <c r="AF5" s="1430"/>
      <c r="AI5" s="1430"/>
      <c r="AJ5" s="1430"/>
    </row>
    <row r="6" spans="1:37" ht="30.75" customHeight="1" x14ac:dyDescent="0.3">
      <c r="A6" s="2435" t="s">
        <v>683</v>
      </c>
      <c r="B6" s="2435"/>
      <c r="C6" s="2435"/>
      <c r="D6" s="2435"/>
      <c r="E6" s="2435"/>
      <c r="F6" s="2435"/>
      <c r="G6" s="2435"/>
      <c r="H6" s="2435"/>
      <c r="I6" s="2435"/>
      <c r="J6" s="2435"/>
      <c r="K6" s="2435"/>
      <c r="L6" s="2435"/>
      <c r="M6" s="2435"/>
      <c r="N6" s="2435"/>
      <c r="O6" s="2435"/>
      <c r="P6" s="2435"/>
      <c r="Q6" s="2435"/>
      <c r="R6" s="2435"/>
      <c r="S6" s="2435"/>
      <c r="T6" s="2435"/>
      <c r="U6" s="2435"/>
      <c r="V6" s="2435"/>
      <c r="W6" s="1426"/>
      <c r="X6" s="1427"/>
      <c r="Y6" s="1657"/>
      <c r="Z6" s="1657"/>
      <c r="AA6" s="1657"/>
      <c r="AB6" s="1428"/>
      <c r="AC6" s="1427"/>
      <c r="AD6" s="1427"/>
      <c r="AE6" s="1429"/>
      <c r="AF6" s="1430"/>
      <c r="AI6" s="1430"/>
      <c r="AJ6" s="1430"/>
    </row>
    <row r="7" spans="1:37" ht="10.5" customHeight="1" thickBot="1" x14ac:dyDescent="0.35">
      <c r="A7" s="1432"/>
      <c r="B7" s="1432"/>
      <c r="C7" s="1432"/>
      <c r="D7" s="1432"/>
      <c r="E7" s="1432"/>
      <c r="F7" s="1432"/>
      <c r="G7" s="1432"/>
      <c r="H7" s="1432"/>
      <c r="I7" s="1432"/>
      <c r="J7" s="1432"/>
      <c r="K7" s="1432"/>
      <c r="L7" s="1432"/>
      <c r="M7" s="1432"/>
      <c r="N7" s="1432"/>
      <c r="O7" s="1432"/>
      <c r="P7" s="1432"/>
      <c r="Q7" s="1432"/>
      <c r="R7" s="1432"/>
      <c r="S7" s="1432"/>
      <c r="T7" s="1432"/>
      <c r="U7" s="1432"/>
      <c r="V7" s="1433"/>
      <c r="W7" s="1433"/>
      <c r="X7" s="1434"/>
      <c r="Y7" s="1661"/>
      <c r="Z7" s="1661"/>
      <c r="AA7" s="1661"/>
    </row>
    <row r="8" spans="1:37" ht="15" customHeight="1" x14ac:dyDescent="0.3">
      <c r="A8" s="2436" t="s">
        <v>684</v>
      </c>
      <c r="B8" s="2439" t="s">
        <v>685</v>
      </c>
      <c r="C8" s="2439" t="s">
        <v>686</v>
      </c>
      <c r="D8" s="2439" t="s">
        <v>687</v>
      </c>
      <c r="E8" s="2442" t="s">
        <v>688</v>
      </c>
      <c r="F8" s="2474" t="s">
        <v>689</v>
      </c>
      <c r="G8" s="2477" t="s">
        <v>690</v>
      </c>
      <c r="H8" s="2480" t="s">
        <v>691</v>
      </c>
      <c r="I8" s="2483" t="s">
        <v>284</v>
      </c>
      <c r="J8" s="2484"/>
      <c r="K8" s="2484"/>
      <c r="L8" s="2484"/>
      <c r="M8" s="2484"/>
      <c r="N8" s="2484"/>
      <c r="O8" s="2484"/>
      <c r="P8" s="2485"/>
      <c r="Q8" s="2445" t="s">
        <v>692</v>
      </c>
      <c r="R8" s="2448" t="s">
        <v>693</v>
      </c>
      <c r="S8" s="2448" t="s">
        <v>694</v>
      </c>
      <c r="T8" s="2448" t="s">
        <v>695</v>
      </c>
      <c r="U8" s="2448" t="s">
        <v>696</v>
      </c>
      <c r="V8" s="2452" t="s">
        <v>697</v>
      </c>
      <c r="W8" s="2452" t="s">
        <v>698</v>
      </c>
      <c r="X8" s="2455"/>
      <c r="Y8" s="2460" t="s">
        <v>796</v>
      </c>
      <c r="Z8" s="2460"/>
      <c r="AA8" s="2460"/>
      <c r="AB8" s="1438"/>
      <c r="AC8" s="2456"/>
      <c r="AD8" s="1439"/>
      <c r="AE8" s="2457" t="s">
        <v>699</v>
      </c>
      <c r="AF8" s="2449" t="s">
        <v>700</v>
      </c>
      <c r="AG8" s="1440"/>
      <c r="AH8" s="1440"/>
      <c r="AI8" s="2449" t="s">
        <v>701</v>
      </c>
      <c r="AJ8" s="2449" t="s">
        <v>702</v>
      </c>
      <c r="AK8" s="2449" t="s">
        <v>703</v>
      </c>
    </row>
    <row r="9" spans="1:37" ht="15" customHeight="1" x14ac:dyDescent="0.3">
      <c r="A9" s="2437"/>
      <c r="B9" s="2440"/>
      <c r="C9" s="2440"/>
      <c r="D9" s="2440"/>
      <c r="E9" s="2443"/>
      <c r="F9" s="2475"/>
      <c r="G9" s="2478"/>
      <c r="H9" s="2481"/>
      <c r="I9" s="2486"/>
      <c r="J9" s="2487"/>
      <c r="K9" s="2487"/>
      <c r="L9" s="2487"/>
      <c r="M9" s="2487"/>
      <c r="N9" s="2487"/>
      <c r="O9" s="2487"/>
      <c r="P9" s="2488"/>
      <c r="Q9" s="2446"/>
      <c r="R9" s="2430"/>
      <c r="S9" s="2430"/>
      <c r="T9" s="2430"/>
      <c r="U9" s="2430"/>
      <c r="V9" s="2453"/>
      <c r="W9" s="2453"/>
      <c r="X9" s="2455"/>
      <c r="Y9" s="2460"/>
      <c r="Z9" s="2460"/>
      <c r="AA9" s="2460"/>
      <c r="AB9" s="1438"/>
      <c r="AC9" s="2456"/>
      <c r="AD9" s="1439"/>
      <c r="AE9" s="2458"/>
      <c r="AF9" s="2450"/>
      <c r="AG9" s="1440"/>
      <c r="AH9" s="1440"/>
      <c r="AI9" s="2450"/>
      <c r="AJ9" s="2450"/>
      <c r="AK9" s="2450"/>
    </row>
    <row r="10" spans="1:37" ht="15.6" customHeight="1" x14ac:dyDescent="0.3">
      <c r="A10" s="2437"/>
      <c r="B10" s="2440"/>
      <c r="C10" s="2440"/>
      <c r="D10" s="2440"/>
      <c r="E10" s="2443"/>
      <c r="F10" s="2475"/>
      <c r="G10" s="2478"/>
      <c r="H10" s="2481"/>
      <c r="I10" s="2486" t="s">
        <v>704</v>
      </c>
      <c r="J10" s="2487"/>
      <c r="K10" s="2487"/>
      <c r="L10" s="2430" t="s">
        <v>705</v>
      </c>
      <c r="M10" s="2430" t="s">
        <v>706</v>
      </c>
      <c r="N10" s="2430" t="s">
        <v>707</v>
      </c>
      <c r="O10" s="2430" t="s">
        <v>708</v>
      </c>
      <c r="P10" s="2464" t="s">
        <v>709</v>
      </c>
      <c r="Q10" s="2446"/>
      <c r="R10" s="2430"/>
      <c r="S10" s="2430"/>
      <c r="T10" s="2430"/>
      <c r="U10" s="2430"/>
      <c r="V10" s="2453"/>
      <c r="W10" s="2453"/>
      <c r="X10" s="2455"/>
      <c r="Y10" s="2460"/>
      <c r="Z10" s="2460"/>
      <c r="AA10" s="2460"/>
      <c r="AB10" s="1438"/>
      <c r="AC10" s="2456"/>
      <c r="AD10" s="1439"/>
      <c r="AE10" s="2458"/>
      <c r="AF10" s="2450"/>
      <c r="AG10" s="1440"/>
      <c r="AH10" s="1440"/>
      <c r="AI10" s="2450"/>
      <c r="AJ10" s="2450"/>
      <c r="AK10" s="2450"/>
    </row>
    <row r="11" spans="1:37" ht="90.75" customHeight="1" thickBot="1" x14ac:dyDescent="0.35">
      <c r="A11" s="2438"/>
      <c r="B11" s="2441"/>
      <c r="C11" s="2441"/>
      <c r="D11" s="2441"/>
      <c r="E11" s="2444"/>
      <c r="F11" s="2476"/>
      <c r="G11" s="2479"/>
      <c r="H11" s="2482"/>
      <c r="I11" s="1441" t="s">
        <v>710</v>
      </c>
      <c r="J11" s="1442" t="s">
        <v>711</v>
      </c>
      <c r="K11" s="1442" t="s">
        <v>712</v>
      </c>
      <c r="L11" s="2431"/>
      <c r="M11" s="2431"/>
      <c r="N11" s="2431"/>
      <c r="O11" s="2431"/>
      <c r="P11" s="2465"/>
      <c r="Q11" s="2447"/>
      <c r="R11" s="2431"/>
      <c r="S11" s="2431"/>
      <c r="T11" s="2431"/>
      <c r="U11" s="2431"/>
      <c r="V11" s="2454"/>
      <c r="W11" s="2454"/>
      <c r="X11" s="2455"/>
      <c r="Y11" s="1672" t="s">
        <v>797</v>
      </c>
      <c r="Z11" s="1672" t="s">
        <v>799</v>
      </c>
      <c r="AA11" s="1672" t="s">
        <v>798</v>
      </c>
      <c r="AB11" s="1438"/>
      <c r="AC11" s="2456"/>
      <c r="AD11" s="1443"/>
      <c r="AE11" s="2459"/>
      <c r="AF11" s="2451"/>
      <c r="AG11" s="1440"/>
      <c r="AH11" s="1440"/>
      <c r="AI11" s="2451"/>
      <c r="AJ11" s="2451"/>
      <c r="AK11" s="2451"/>
    </row>
    <row r="12" spans="1:37" s="1462" customFormat="1" ht="24.95" customHeight="1" x14ac:dyDescent="0.3">
      <c r="A12" s="1444" t="s">
        <v>713</v>
      </c>
      <c r="B12" s="1445"/>
      <c r="C12" s="1446"/>
      <c r="D12" s="1446"/>
      <c r="E12" s="1447"/>
      <c r="F12" s="1448"/>
      <c r="G12" s="1449"/>
      <c r="H12" s="1450"/>
      <c r="I12" s="1451"/>
      <c r="J12" s="1452"/>
      <c r="K12" s="1452"/>
      <c r="L12" s="1452"/>
      <c r="M12" s="1452"/>
      <c r="N12" s="1452"/>
      <c r="O12" s="1452"/>
      <c r="P12" s="1453"/>
      <c r="Q12" s="1451"/>
      <c r="R12" s="1452"/>
      <c r="S12" s="1452"/>
      <c r="T12" s="1452"/>
      <c r="U12" s="1454"/>
      <c r="V12" s="1455"/>
      <c r="W12" s="1455"/>
      <c r="X12" s="1456"/>
      <c r="Y12" s="1658"/>
      <c r="Z12" s="1658"/>
      <c r="AA12" s="1658"/>
      <c r="AB12" s="1435"/>
      <c r="AC12" s="1439"/>
      <c r="AD12" s="1457"/>
      <c r="AE12" s="1458"/>
      <c r="AF12" s="1459"/>
      <c r="AG12" s="1460"/>
      <c r="AH12" s="1460"/>
      <c r="AI12" s="1459"/>
      <c r="AJ12" s="1459"/>
      <c r="AK12" s="1461"/>
    </row>
    <row r="13" spans="1:37" s="1462" customFormat="1" ht="21" customHeight="1" x14ac:dyDescent="0.3">
      <c r="A13" s="1463" t="s">
        <v>714</v>
      </c>
      <c r="B13" s="1464">
        <v>504000</v>
      </c>
      <c r="C13" s="1465">
        <f>ROUNDUP(1464424.72,0)</f>
        <v>1464425</v>
      </c>
      <c r="D13" s="1465"/>
      <c r="E13" s="1466"/>
      <c r="F13" s="1467"/>
      <c r="G13" s="1468"/>
      <c r="H13" s="1469"/>
      <c r="I13" s="1470"/>
      <c r="J13" s="1471"/>
      <c r="K13" s="1471"/>
      <c r="L13" s="1472">
        <f>(3.84-1.073)*0</f>
        <v>0</v>
      </c>
      <c r="M13" s="1472"/>
      <c r="N13" s="1472"/>
      <c r="O13" s="1472"/>
      <c r="P13" s="1473"/>
      <c r="Q13" s="1474"/>
      <c r="R13" s="1472"/>
      <c r="S13" s="1472"/>
      <c r="T13" s="1472"/>
      <c r="U13" s="1475"/>
      <c r="V13" s="1476">
        <f>1*0</f>
        <v>0</v>
      </c>
      <c r="W13" s="1477" t="s">
        <v>715</v>
      </c>
      <c r="X13" s="1456"/>
      <c r="Y13" s="1658">
        <f>37.9286+123.548</f>
        <v>161.47660000000002</v>
      </c>
      <c r="Z13" s="1658">
        <v>154.53731999999999</v>
      </c>
      <c r="AA13" s="1658">
        <v>583.96400000000006</v>
      </c>
      <c r="AB13" s="1435"/>
      <c r="AC13" s="1457"/>
      <c r="AD13" s="1457"/>
      <c r="AE13" s="1458"/>
      <c r="AF13" s="1459"/>
      <c r="AG13" s="1460"/>
      <c r="AH13" s="1460"/>
      <c r="AI13" s="1459"/>
      <c r="AJ13" s="1459"/>
      <c r="AK13" s="1461"/>
    </row>
    <row r="14" spans="1:37" s="1462" customFormat="1" ht="21" customHeight="1" x14ac:dyDescent="0.3">
      <c r="A14" s="1463" t="s">
        <v>427</v>
      </c>
      <c r="B14" s="1464">
        <f>ROUNDUP((129180.15+763035.37+140636.72+180442.42+834527.52+935307.98+112660.99+32829.47),0)+ROUNDUP((3048254.38+550139.32-172879.54),0)</f>
        <v>6554136</v>
      </c>
      <c r="C14" s="1465">
        <f>ROUNDUP(3402762.33,0)</f>
        <v>3402763</v>
      </c>
      <c r="D14" s="1465"/>
      <c r="E14" s="1466"/>
      <c r="F14" s="1467"/>
      <c r="G14" s="1468"/>
      <c r="H14" s="1469"/>
      <c r="I14" s="1470"/>
      <c r="J14" s="1471"/>
      <c r="K14" s="1471"/>
      <c r="L14" s="1472">
        <f>(5.65-3.84)*0</f>
        <v>0</v>
      </c>
      <c r="M14" s="1472"/>
      <c r="N14" s="1472"/>
      <c r="O14" s="1472"/>
      <c r="P14" s="1473"/>
      <c r="Q14" s="1474"/>
      <c r="R14" s="1472"/>
      <c r="S14" s="1472"/>
      <c r="T14" s="1472"/>
      <c r="U14" s="1475"/>
      <c r="V14" s="1476">
        <f>1*0</f>
        <v>0</v>
      </c>
      <c r="W14" s="1477" t="s">
        <v>715</v>
      </c>
      <c r="X14" s="1456"/>
      <c r="Y14" s="1658">
        <v>3603.933</v>
      </c>
      <c r="Z14" s="1658">
        <v>12318.389000000001</v>
      </c>
      <c r="AA14" s="1658">
        <v>377.57400000000001</v>
      </c>
      <c r="AB14" s="1435"/>
      <c r="AC14" s="1457"/>
      <c r="AD14" s="1457"/>
      <c r="AE14" s="1458"/>
      <c r="AF14" s="1459"/>
      <c r="AG14" s="1460"/>
      <c r="AH14" s="1460"/>
      <c r="AI14" s="1459"/>
      <c r="AJ14" s="1459"/>
      <c r="AK14" s="1461"/>
    </row>
    <row r="15" spans="1:37" s="1462" customFormat="1" ht="56.25" x14ac:dyDescent="0.3">
      <c r="A15" s="1478" t="s">
        <v>716</v>
      </c>
      <c r="B15" s="1479"/>
      <c r="C15" s="1480">
        <f>ROUNDUP(2.84*15*AK40/5*4+2.84*15*AK40/5*6+2.84*AK44*1.5*2*1.52+AK46*4+2.84*2*AK47,0)</f>
        <v>5463085</v>
      </c>
      <c r="D15" s="1480">
        <v>40000</v>
      </c>
      <c r="E15" s="1481">
        <f>D15</f>
        <v>40000</v>
      </c>
      <c r="F15" s="1482" t="s">
        <v>717</v>
      </c>
      <c r="G15" s="1483">
        <v>30000</v>
      </c>
      <c r="H15" s="1484"/>
      <c r="I15" s="1485"/>
      <c r="J15" s="1486"/>
      <c r="K15" s="1486"/>
      <c r="L15" s="1486">
        <f>2.84*0</f>
        <v>0</v>
      </c>
      <c r="M15" s="1486"/>
      <c r="N15" s="1486"/>
      <c r="O15" s="1486"/>
      <c r="P15" s="1487"/>
      <c r="Q15" s="1485">
        <f>2.84*0</f>
        <v>0</v>
      </c>
      <c r="R15" s="1486"/>
      <c r="S15" s="1486"/>
      <c r="T15" s="1486"/>
      <c r="U15" s="1488"/>
      <c r="V15" s="1489"/>
      <c r="W15" s="1490" t="s">
        <v>718</v>
      </c>
      <c r="X15" s="1456"/>
      <c r="Y15" s="1658"/>
      <c r="Z15" s="1658"/>
      <c r="AA15" s="1658"/>
      <c r="AB15" s="1435"/>
      <c r="AC15" s="1457"/>
      <c r="AD15" s="1457"/>
      <c r="AE15" s="1458"/>
      <c r="AF15" s="1459"/>
      <c r="AG15" s="1460"/>
      <c r="AH15" s="1460"/>
      <c r="AI15" s="1459"/>
      <c r="AJ15" s="1459"/>
      <c r="AK15" s="1461"/>
    </row>
    <row r="16" spans="1:37" s="1462" customFormat="1" ht="75" x14ac:dyDescent="0.3">
      <c r="A16" s="1491" t="s">
        <v>719</v>
      </c>
      <c r="B16" s="1464"/>
      <c r="C16" s="1465"/>
      <c r="D16" s="1465">
        <v>600000</v>
      </c>
      <c r="E16" s="1466">
        <f>D16</f>
        <v>600000</v>
      </c>
      <c r="F16" s="1482" t="s">
        <v>717</v>
      </c>
      <c r="G16" s="1468">
        <v>600000</v>
      </c>
      <c r="H16" s="1469"/>
      <c r="I16" s="1470"/>
      <c r="J16" s="1471"/>
      <c r="K16" s="1471"/>
      <c r="L16" s="1471"/>
      <c r="M16" s="1471"/>
      <c r="N16" s="1471"/>
      <c r="O16" s="1471"/>
      <c r="P16" s="1492"/>
      <c r="Q16" s="1470"/>
      <c r="R16" s="1471"/>
      <c r="S16" s="1471"/>
      <c r="T16" s="1471"/>
      <c r="U16" s="1493"/>
      <c r="V16" s="1477"/>
      <c r="W16" s="1490" t="s">
        <v>720</v>
      </c>
      <c r="X16" s="1456"/>
      <c r="Y16" s="1658"/>
      <c r="Z16" s="1658"/>
      <c r="AA16" s="1658"/>
      <c r="AB16" s="1435"/>
      <c r="AC16" s="1457"/>
      <c r="AD16" s="1457"/>
      <c r="AE16" s="1458"/>
      <c r="AF16" s="1459"/>
      <c r="AG16" s="1460"/>
      <c r="AH16" s="1460"/>
      <c r="AI16" s="1459"/>
      <c r="AJ16" s="1459"/>
      <c r="AK16" s="1461"/>
    </row>
    <row r="17" spans="1:37" s="1462" customFormat="1" ht="37.5" x14ac:dyDescent="0.3">
      <c r="A17" s="1494" t="s">
        <v>721</v>
      </c>
      <c r="B17" s="1479"/>
      <c r="C17" s="1480">
        <f>ROUNDUP(O17*10*AK43/10*18,0)</f>
        <v>799760</v>
      </c>
      <c r="D17" s="1480">
        <v>775474</v>
      </c>
      <c r="E17" s="1481">
        <f>C17</f>
        <v>799760</v>
      </c>
      <c r="F17" s="1482" t="s">
        <v>717</v>
      </c>
      <c r="G17" s="1483">
        <v>775474</v>
      </c>
      <c r="H17" s="1469"/>
      <c r="I17" s="1470"/>
      <c r="J17" s="1471"/>
      <c r="K17" s="1471"/>
      <c r="L17" s="1471"/>
      <c r="M17" s="1471"/>
      <c r="N17" s="1471"/>
      <c r="O17" s="1495">
        <v>2</v>
      </c>
      <c r="P17" s="1492"/>
      <c r="Q17" s="1470"/>
      <c r="R17" s="1471"/>
      <c r="S17" s="1471"/>
      <c r="T17" s="1471"/>
      <c r="U17" s="1493"/>
      <c r="V17" s="1492"/>
      <c r="W17" s="1496" t="s">
        <v>722</v>
      </c>
      <c r="X17" s="1456"/>
      <c r="Y17" s="1658"/>
      <c r="Z17" s="1658"/>
      <c r="AA17" s="1658"/>
      <c r="AB17" s="1435"/>
      <c r="AC17" s="1457"/>
      <c r="AD17" s="1457"/>
      <c r="AE17" s="1458"/>
      <c r="AF17" s="1459"/>
      <c r="AG17" s="1460"/>
      <c r="AH17" s="1460"/>
      <c r="AI17" s="1459"/>
      <c r="AJ17" s="1459"/>
      <c r="AK17" s="1461"/>
    </row>
    <row r="18" spans="1:37" s="1462" customFormat="1" ht="37.5" x14ac:dyDescent="0.3">
      <c r="A18" s="1497" t="s">
        <v>723</v>
      </c>
      <c r="B18" s="1479"/>
      <c r="C18" s="1480">
        <f>ROUNDUP((57791.9+184443.78*1.0507)+(57791.9+184443.78*1.0507)*0.0138*1.2+(57791.9+184443.78*1.0507)*0.0012*1.2,0)</f>
        <v>256116</v>
      </c>
      <c r="D18" s="1480">
        <v>40000</v>
      </c>
      <c r="E18" s="1481">
        <f>D18</f>
        <v>40000</v>
      </c>
      <c r="F18" s="1482" t="s">
        <v>717</v>
      </c>
      <c r="G18" s="1483">
        <v>30000</v>
      </c>
      <c r="H18" s="1484"/>
      <c r="I18" s="1485"/>
      <c r="J18" s="1486"/>
      <c r="K18" s="1486"/>
      <c r="L18" s="1486"/>
      <c r="M18" s="1486"/>
      <c r="N18" s="1486"/>
      <c r="O18" s="1486"/>
      <c r="P18" s="1487"/>
      <c r="Q18" s="1485"/>
      <c r="R18" s="1486"/>
      <c r="S18" s="1486"/>
      <c r="T18" s="1486"/>
      <c r="U18" s="1488"/>
      <c r="V18" s="1487">
        <f>1*0</f>
        <v>0</v>
      </c>
      <c r="W18" s="1498" t="s">
        <v>724</v>
      </c>
      <c r="X18" s="1456"/>
      <c r="Y18" s="1658"/>
      <c r="Z18" s="1658"/>
      <c r="AA18" s="1658"/>
      <c r="AB18" s="1435"/>
      <c r="AC18" s="1457"/>
      <c r="AD18" s="1457"/>
      <c r="AE18" s="1458"/>
      <c r="AF18" s="1459"/>
      <c r="AG18" s="1460"/>
      <c r="AH18" s="1460"/>
      <c r="AI18" s="1459"/>
      <c r="AJ18" s="1459"/>
      <c r="AK18" s="1461"/>
    </row>
    <row r="19" spans="1:37" s="1462" customFormat="1" ht="56.25" x14ac:dyDescent="0.3">
      <c r="A19" s="1463" t="s">
        <v>725</v>
      </c>
      <c r="B19" s="1464"/>
      <c r="C19" s="1465"/>
      <c r="D19" s="1465"/>
      <c r="E19" s="1466">
        <v>40000</v>
      </c>
      <c r="F19" s="1482" t="s">
        <v>717</v>
      </c>
      <c r="G19" s="1468">
        <v>30000</v>
      </c>
      <c r="H19" s="1469"/>
      <c r="I19" s="1470"/>
      <c r="J19" s="1471"/>
      <c r="K19" s="1471"/>
      <c r="L19" s="1471"/>
      <c r="M19" s="1471"/>
      <c r="N19" s="1471"/>
      <c r="O19" s="1471"/>
      <c r="P19" s="1492"/>
      <c r="Q19" s="1470"/>
      <c r="R19" s="1471"/>
      <c r="S19" s="1471"/>
      <c r="T19" s="1471"/>
      <c r="U19" s="1493"/>
      <c r="V19" s="1492"/>
      <c r="W19" s="1490" t="s">
        <v>726</v>
      </c>
      <c r="X19" s="1456"/>
      <c r="Y19" s="1658"/>
      <c r="Z19" s="1658"/>
      <c r="AA19" s="1658"/>
      <c r="AB19" s="1435"/>
      <c r="AC19" s="1457"/>
      <c r="AD19" s="1457"/>
      <c r="AE19" s="1458"/>
      <c r="AF19" s="1459"/>
      <c r="AG19" s="1460"/>
      <c r="AH19" s="1460"/>
      <c r="AI19" s="1459"/>
      <c r="AJ19" s="1459"/>
      <c r="AK19" s="1461"/>
    </row>
    <row r="20" spans="1:37" s="1516" customFormat="1" ht="20.25" thickBot="1" x14ac:dyDescent="0.35">
      <c r="A20" s="1499" t="s">
        <v>285</v>
      </c>
      <c r="B20" s="1500">
        <f>SUM(B12:B18)</f>
        <v>7058136</v>
      </c>
      <c r="C20" s="1501">
        <f>SUM(C12:C18)</f>
        <v>11386149</v>
      </c>
      <c r="D20" s="1500">
        <f>SUM(D12:D18)</f>
        <v>1455474</v>
      </c>
      <c r="E20" s="1501">
        <f>SUM(E12:E18)</f>
        <v>1479760</v>
      </c>
      <c r="F20" s="1502"/>
      <c r="G20" s="1503">
        <f>SUM(G12:G19)</f>
        <v>1465474</v>
      </c>
      <c r="H20" s="1504"/>
      <c r="I20" s="1505"/>
      <c r="J20" s="1506"/>
      <c r="K20" s="1506"/>
      <c r="L20" s="1506"/>
      <c r="M20" s="1506"/>
      <c r="N20" s="1506"/>
      <c r="O20" s="1506"/>
      <c r="P20" s="1507"/>
      <c r="Q20" s="1505"/>
      <c r="R20" s="1506"/>
      <c r="S20" s="1506"/>
      <c r="T20" s="1506"/>
      <c r="U20" s="1508"/>
      <c r="V20" s="1507"/>
      <c r="W20" s="1509"/>
      <c r="X20" s="1510"/>
      <c r="Y20" s="1662"/>
      <c r="Z20" s="1662"/>
      <c r="AA20" s="1662"/>
      <c r="AB20" s="1511"/>
      <c r="AC20" s="1512"/>
      <c r="AD20" s="1512"/>
      <c r="AE20" s="1513"/>
      <c r="AF20" s="1514"/>
      <c r="AG20" s="1515"/>
      <c r="AH20" s="1515"/>
      <c r="AI20" s="1514"/>
      <c r="AJ20" s="1514"/>
      <c r="AK20" s="1512"/>
    </row>
    <row r="21" spans="1:37" s="1414" customFormat="1" ht="8.25" thickBot="1" x14ac:dyDescent="0.2">
      <c r="A21" s="1517"/>
      <c r="B21" s="1518"/>
      <c r="C21" s="1519"/>
      <c r="D21" s="1519"/>
      <c r="E21" s="1520"/>
      <c r="F21" s="1521"/>
      <c r="G21" s="1522"/>
      <c r="H21" s="1523"/>
      <c r="I21" s="1524"/>
      <c r="J21" s="1525"/>
      <c r="K21" s="1525"/>
      <c r="L21" s="1525"/>
      <c r="M21" s="1525"/>
      <c r="N21" s="1525"/>
      <c r="O21" s="1525"/>
      <c r="P21" s="1526"/>
      <c r="Q21" s="1524"/>
      <c r="R21" s="1525"/>
      <c r="S21" s="1525"/>
      <c r="T21" s="1525"/>
      <c r="U21" s="1527"/>
      <c r="V21" s="1526"/>
      <c r="W21" s="1528"/>
      <c r="X21" s="1529"/>
      <c r="Y21" s="1663"/>
      <c r="Z21" s="1663"/>
      <c r="AA21" s="1663"/>
      <c r="AB21" s="1421"/>
      <c r="AC21" s="1530"/>
      <c r="AD21" s="1530"/>
      <c r="AE21" s="1531"/>
      <c r="AF21" s="1532"/>
      <c r="AG21" s="1533"/>
      <c r="AH21" s="1533"/>
      <c r="AI21" s="1532"/>
      <c r="AJ21" s="1532"/>
      <c r="AK21" s="1534"/>
    </row>
    <row r="22" spans="1:37" s="1462" customFormat="1" ht="24.95" customHeight="1" x14ac:dyDescent="0.3">
      <c r="A22" s="1535" t="s">
        <v>727</v>
      </c>
      <c r="B22" s="1445"/>
      <c r="C22" s="1446"/>
      <c r="D22" s="1446"/>
      <c r="E22" s="1447"/>
      <c r="F22" s="1448"/>
      <c r="G22" s="1449"/>
      <c r="H22" s="1450"/>
      <c r="I22" s="1451"/>
      <c r="J22" s="1452"/>
      <c r="K22" s="1452"/>
      <c r="L22" s="1452"/>
      <c r="M22" s="1452"/>
      <c r="N22" s="1452"/>
      <c r="O22" s="1452"/>
      <c r="P22" s="1453"/>
      <c r="Q22" s="1451"/>
      <c r="R22" s="1452"/>
      <c r="S22" s="1452"/>
      <c r="T22" s="1452"/>
      <c r="U22" s="1454"/>
      <c r="V22" s="1455"/>
      <c r="W22" s="1455"/>
      <c r="X22" s="1456"/>
      <c r="Y22" s="1658"/>
      <c r="Z22" s="1658"/>
      <c r="AA22" s="1658"/>
      <c r="AB22" s="1435"/>
      <c r="AC22" s="1439"/>
      <c r="AD22" s="1457"/>
      <c r="AE22" s="1458"/>
      <c r="AF22" s="1459"/>
      <c r="AG22" s="1460"/>
      <c r="AH22" s="1460"/>
      <c r="AI22" s="1459"/>
      <c r="AJ22" s="1459"/>
      <c r="AK22" s="1461"/>
    </row>
    <row r="23" spans="1:37" s="1462" customFormat="1" ht="37.5" x14ac:dyDescent="0.3">
      <c r="A23" s="1494" t="s">
        <v>270</v>
      </c>
      <c r="B23" s="1479">
        <v>12083.16</v>
      </c>
      <c r="C23" s="1480">
        <f>ROUNDUP((35966.98-B23+35966.98*0.0138*1.2+35966.98*0.0012*1.2),0)+ROUNDUP((84448.88+84448.88*0.0138*1.2+84448.88*0.0012*1.2),0)</f>
        <v>110501</v>
      </c>
      <c r="D23" s="1480">
        <v>111000</v>
      </c>
      <c r="E23" s="1481">
        <f>C23</f>
        <v>110501</v>
      </c>
      <c r="F23" s="1482" t="s">
        <v>717</v>
      </c>
      <c r="G23" s="1483">
        <v>110501</v>
      </c>
      <c r="H23" s="1484"/>
      <c r="I23" s="1485"/>
      <c r="J23" s="1486"/>
      <c r="K23" s="1486"/>
      <c r="L23" s="1486"/>
      <c r="M23" s="1486"/>
      <c r="N23" s="1486"/>
      <c r="O23" s="1486"/>
      <c r="P23" s="1487"/>
      <c r="Q23" s="1485"/>
      <c r="R23" s="1486"/>
      <c r="S23" s="1486"/>
      <c r="T23" s="1486"/>
      <c r="U23" s="1488"/>
      <c r="V23" s="1489"/>
      <c r="W23" s="1498" t="s">
        <v>728</v>
      </c>
      <c r="X23" s="1456"/>
      <c r="Y23" s="1658"/>
      <c r="Z23" s="1658"/>
      <c r="AA23" s="1658"/>
      <c r="AB23" s="1435"/>
      <c r="AC23" s="1457"/>
      <c r="AD23" s="1457"/>
      <c r="AE23" s="1458"/>
      <c r="AF23" s="1459"/>
      <c r="AG23" s="1460"/>
      <c r="AH23" s="1460"/>
      <c r="AI23" s="1459"/>
      <c r="AJ23" s="1459"/>
      <c r="AK23" s="1461"/>
    </row>
    <row r="24" spans="1:37" s="1462" customFormat="1" x14ac:dyDescent="0.3">
      <c r="A24" s="1494" t="s">
        <v>426</v>
      </c>
      <c r="B24" s="1479">
        <v>36089.919999999998</v>
      </c>
      <c r="C24" s="1480">
        <f>ROUNDUP((1141072.52-B24)+1141072.52*0.0138*1.2+1141072.52*0.0012*1.2,0)</f>
        <v>1125522</v>
      </c>
      <c r="D24" s="1480">
        <v>151195</v>
      </c>
      <c r="E24" s="1481">
        <f>127626.05</f>
        <v>127626.05</v>
      </c>
      <c r="F24" s="1482" t="s">
        <v>717</v>
      </c>
      <c r="G24" s="1483">
        <v>122626</v>
      </c>
      <c r="H24" s="1484"/>
      <c r="I24" s="1485"/>
      <c r="J24" s="1486"/>
      <c r="K24" s="1486"/>
      <c r="L24" s="1486"/>
      <c r="M24" s="1486"/>
      <c r="N24" s="1486"/>
      <c r="O24" s="1486"/>
      <c r="P24" s="1487"/>
      <c r="Q24" s="1485"/>
      <c r="R24" s="1486"/>
      <c r="S24" s="1486"/>
      <c r="T24" s="1486"/>
      <c r="U24" s="1488"/>
      <c r="V24" s="1489"/>
      <c r="W24" s="1498" t="s">
        <v>729</v>
      </c>
      <c r="X24" s="1456"/>
      <c r="Y24" s="1658">
        <f>60.45874+111.29039</f>
        <v>171.74913000000001</v>
      </c>
      <c r="Z24" s="1658">
        <v>53.13156</v>
      </c>
      <c r="AA24" s="1658">
        <v>30.959</v>
      </c>
      <c r="AB24" s="1435"/>
      <c r="AC24" s="1457"/>
      <c r="AD24" s="1457"/>
      <c r="AE24" s="1458"/>
      <c r="AF24" s="1459"/>
      <c r="AG24" s="1460"/>
      <c r="AH24" s="1460"/>
      <c r="AI24" s="1459"/>
      <c r="AJ24" s="1459"/>
      <c r="AK24" s="1461"/>
    </row>
    <row r="25" spans="1:37" s="1462" customFormat="1" ht="44.25" customHeight="1" x14ac:dyDescent="0.3">
      <c r="A25" s="1494" t="s">
        <v>730</v>
      </c>
      <c r="B25" s="1479"/>
      <c r="C25" s="1480">
        <f>ROUNDUP(2.3*10*AK43/10*16+2.3*7*AK40/5*4+2.3*7*AK40/5*6+2.3*2*1.5*AK45/6*12+0.11*AK48+3*AK53/12*15+100000,0)</f>
        <v>2510295</v>
      </c>
      <c r="D25" s="1480"/>
      <c r="E25" s="1481">
        <v>40000</v>
      </c>
      <c r="F25" s="1482"/>
      <c r="G25" s="1483"/>
      <c r="H25" s="1469"/>
      <c r="I25" s="1470"/>
      <c r="J25" s="1471"/>
      <c r="K25" s="1471"/>
      <c r="L25" s="1471"/>
      <c r="M25" s="1471">
        <f>(8.425-6.125)*0</f>
        <v>0</v>
      </c>
      <c r="N25" s="1471"/>
      <c r="O25" s="1471"/>
      <c r="P25" s="1492"/>
      <c r="Q25" s="1470"/>
      <c r="R25" s="1471">
        <f>0.11*0</f>
        <v>0</v>
      </c>
      <c r="S25" s="1471"/>
      <c r="T25" s="1471"/>
      <c r="U25" s="1493"/>
      <c r="V25" s="1492">
        <f>3*0</f>
        <v>0</v>
      </c>
      <c r="W25" s="1536" t="s">
        <v>731</v>
      </c>
      <c r="X25" s="1456"/>
      <c r="Y25" s="1658"/>
      <c r="Z25" s="1658"/>
      <c r="AA25" s="1658"/>
      <c r="AB25" s="1435"/>
      <c r="AC25" s="1457">
        <v>6</v>
      </c>
      <c r="AD25" s="1457"/>
      <c r="AE25" s="1458"/>
      <c r="AF25" s="1459"/>
      <c r="AG25" s="1460"/>
      <c r="AH25" s="1460"/>
      <c r="AI25" s="1459"/>
      <c r="AJ25" s="1459"/>
      <c r="AK25" s="1461"/>
    </row>
    <row r="26" spans="1:37" s="1516" customFormat="1" ht="20.25" thickBot="1" x14ac:dyDescent="0.35">
      <c r="A26" s="1499" t="s">
        <v>732</v>
      </c>
      <c r="B26" s="1500">
        <f>SUM(B22:B25)</f>
        <v>48173.08</v>
      </c>
      <c r="C26" s="1501">
        <f>SUM(C22:C25)</f>
        <v>3746318</v>
      </c>
      <c r="D26" s="1500">
        <f>SUM(D22:D25)</f>
        <v>262195</v>
      </c>
      <c r="E26" s="1501">
        <f>SUM(E22:E25)</f>
        <v>278127.05</v>
      </c>
      <c r="F26" s="1502"/>
      <c r="G26" s="1503">
        <f>SUM(G22:G25)</f>
        <v>233127</v>
      </c>
      <c r="H26" s="1504"/>
      <c r="I26" s="1505"/>
      <c r="J26" s="1506"/>
      <c r="K26" s="1506"/>
      <c r="L26" s="1506"/>
      <c r="M26" s="1506"/>
      <c r="N26" s="1506"/>
      <c r="O26" s="1506"/>
      <c r="P26" s="1507"/>
      <c r="Q26" s="1505"/>
      <c r="R26" s="1506"/>
      <c r="S26" s="1506"/>
      <c r="T26" s="1506"/>
      <c r="U26" s="1508"/>
      <c r="V26" s="1507"/>
      <c r="W26" s="1509"/>
      <c r="X26" s="1510"/>
      <c r="Y26" s="1662"/>
      <c r="Z26" s="1662"/>
      <c r="AA26" s="1662"/>
      <c r="AB26" s="1511"/>
      <c r="AC26" s="1512"/>
      <c r="AD26" s="1512"/>
      <c r="AE26" s="1513"/>
      <c r="AF26" s="1514"/>
      <c r="AG26" s="1515"/>
      <c r="AH26" s="1515"/>
      <c r="AI26" s="1514"/>
      <c r="AJ26" s="1514"/>
      <c r="AK26" s="1512"/>
    </row>
    <row r="27" spans="1:37" s="1414" customFormat="1" ht="8.25" thickBot="1" x14ac:dyDescent="0.2">
      <c r="A27" s="1537"/>
      <c r="B27" s="1518"/>
      <c r="C27" s="1519"/>
      <c r="D27" s="1519"/>
      <c r="E27" s="1520"/>
      <c r="F27" s="1521"/>
      <c r="G27" s="1522"/>
      <c r="H27" s="1523"/>
      <c r="I27" s="1524"/>
      <c r="J27" s="1525"/>
      <c r="K27" s="1525"/>
      <c r="L27" s="1525"/>
      <c r="M27" s="1525"/>
      <c r="N27" s="1525"/>
      <c r="O27" s="1538"/>
      <c r="P27" s="1526"/>
      <c r="Q27" s="1524"/>
      <c r="R27" s="1525"/>
      <c r="S27" s="1525"/>
      <c r="T27" s="1525"/>
      <c r="U27" s="1527"/>
      <c r="V27" s="1526"/>
      <c r="W27" s="1526"/>
      <c r="X27" s="1529"/>
      <c r="Y27" s="1663"/>
      <c r="Z27" s="1663"/>
      <c r="AA27" s="1663"/>
      <c r="AB27" s="1421"/>
      <c r="AC27" s="1530"/>
      <c r="AD27" s="1530"/>
      <c r="AE27" s="1531"/>
      <c r="AF27" s="1532"/>
      <c r="AG27" s="1533"/>
      <c r="AH27" s="1533"/>
      <c r="AI27" s="1532"/>
      <c r="AJ27" s="1532"/>
      <c r="AK27" s="1534"/>
    </row>
    <row r="28" spans="1:37" s="1462" customFormat="1" ht="19.5" customHeight="1" x14ac:dyDescent="0.3">
      <c r="A28" s="1539" t="s">
        <v>733</v>
      </c>
      <c r="B28" s="1540"/>
      <c r="C28" s="1541"/>
      <c r="D28" s="1541"/>
      <c r="E28" s="1541"/>
      <c r="F28" s="1542"/>
      <c r="G28" s="1543"/>
      <c r="H28" s="1450"/>
      <c r="I28" s="1451"/>
      <c r="J28" s="1452"/>
      <c r="K28" s="1452"/>
      <c r="L28" s="1452"/>
      <c r="M28" s="1452"/>
      <c r="N28" s="1452"/>
      <c r="O28" s="1452"/>
      <c r="P28" s="1453"/>
      <c r="Q28" s="1451"/>
      <c r="R28" s="1544"/>
      <c r="S28" s="1452"/>
      <c r="T28" s="1452"/>
      <c r="U28" s="1454"/>
      <c r="V28" s="1455"/>
      <c r="W28" s="1455"/>
      <c r="X28" s="1456"/>
      <c r="Y28" s="1658"/>
      <c r="Z28" s="1658"/>
      <c r="AA28" s="1658"/>
      <c r="AB28" s="1435"/>
      <c r="AC28" s="1439"/>
      <c r="AD28" s="1457"/>
      <c r="AE28" s="1458"/>
      <c r="AF28" s="1459"/>
      <c r="AG28" s="1460"/>
      <c r="AH28" s="1460"/>
      <c r="AI28" s="1459"/>
      <c r="AJ28" s="1459"/>
      <c r="AK28" s="1461"/>
    </row>
    <row r="29" spans="1:37" s="1462" customFormat="1" x14ac:dyDescent="0.3">
      <c r="A29" s="1545" t="s">
        <v>734</v>
      </c>
      <c r="B29" s="1479"/>
      <c r="C29" s="1480">
        <f>ROUNDUP(AK29/AC29*H29,0)</f>
        <v>179934</v>
      </c>
      <c r="D29" s="1480">
        <v>179934</v>
      </c>
      <c r="E29" s="1481">
        <f t="shared" ref="E29:E50" si="0">C29</f>
        <v>179934</v>
      </c>
      <c r="F29" s="1482" t="s">
        <v>735</v>
      </c>
      <c r="G29" s="1483">
        <v>179934</v>
      </c>
      <c r="H29" s="1546">
        <v>350</v>
      </c>
      <c r="I29" s="1547"/>
      <c r="J29" s="1548"/>
      <c r="K29" s="1548"/>
      <c r="L29" s="1548"/>
      <c r="M29" s="1548"/>
      <c r="N29" s="1548"/>
      <c r="O29" s="1548"/>
      <c r="P29" s="1549"/>
      <c r="Q29" s="1485"/>
      <c r="R29" s="1550"/>
      <c r="S29" s="1486"/>
      <c r="T29" s="1486"/>
      <c r="U29" s="1488"/>
      <c r="V29" s="1489"/>
      <c r="W29" s="1489"/>
      <c r="X29" s="1551"/>
      <c r="Y29" s="1664"/>
      <c r="Z29" s="1664"/>
      <c r="AA29" s="1664"/>
      <c r="AB29" s="1428" t="s">
        <v>736</v>
      </c>
      <c r="AC29" s="1552">
        <f>105.718+55.706+142.197+70.885</f>
        <v>374.50599999999997</v>
      </c>
      <c r="AD29" s="1457" t="s">
        <v>737</v>
      </c>
      <c r="AE29" s="1458" t="s">
        <v>738</v>
      </c>
      <c r="AF29" s="1459">
        <f>145068.05+23399.94</f>
        <v>168467.99</v>
      </c>
      <c r="AG29" s="1460"/>
      <c r="AH29" s="1458" t="s">
        <v>739</v>
      </c>
      <c r="AI29" s="1459">
        <f>AF29*1.0082*1.0082*1.0082</f>
        <v>172646.3788048015</v>
      </c>
      <c r="AJ29" s="1459">
        <f>AI29*1.1</f>
        <v>189911.01668528168</v>
      </c>
      <c r="AK29" s="1461">
        <f>AJ29*1.0138</f>
        <v>192531.78871553857</v>
      </c>
    </row>
    <row r="30" spans="1:37" s="1462" customFormat="1" ht="56.25" x14ac:dyDescent="0.3">
      <c r="A30" s="1553" t="s">
        <v>740</v>
      </c>
      <c r="B30" s="1479"/>
      <c r="C30" s="1480">
        <f>ROUNDUP(P30*4.5*AK43/10*16,0)</f>
        <v>207938</v>
      </c>
      <c r="D30" s="1480">
        <v>277250</v>
      </c>
      <c r="E30" s="1481">
        <f>C30</f>
        <v>207938</v>
      </c>
      <c r="F30" s="1482" t="s">
        <v>717</v>
      </c>
      <c r="G30" s="1483">
        <v>207938</v>
      </c>
      <c r="H30" s="1546"/>
      <c r="I30" s="1554"/>
      <c r="J30" s="1550"/>
      <c r="K30" s="1550"/>
      <c r="L30" s="1548"/>
      <c r="M30" s="1548"/>
      <c r="N30" s="1548"/>
      <c r="O30" s="1550"/>
      <c r="P30" s="1549">
        <v>1.3</v>
      </c>
      <c r="Q30" s="1485"/>
      <c r="R30" s="1550"/>
      <c r="S30" s="1486"/>
      <c r="T30" s="1486"/>
      <c r="U30" s="1488"/>
      <c r="V30" s="1489"/>
      <c r="W30" s="1496" t="s">
        <v>741</v>
      </c>
      <c r="X30" s="1555"/>
      <c r="Y30" s="1658"/>
      <c r="Z30" s="1658"/>
      <c r="AA30" s="1658"/>
      <c r="AB30" s="1435"/>
      <c r="AC30" s="1457"/>
      <c r="AD30" s="1457"/>
      <c r="AE30" s="1458"/>
      <c r="AF30" s="1459"/>
      <c r="AG30" s="1460"/>
      <c r="AH30" s="1460"/>
      <c r="AI30" s="1459"/>
      <c r="AJ30" s="1459"/>
      <c r="AK30" s="1461"/>
    </row>
    <row r="31" spans="1:37" s="1557" customFormat="1" x14ac:dyDescent="0.2">
      <c r="A31" s="1556" t="s">
        <v>742</v>
      </c>
      <c r="B31" s="1479">
        <v>379333.08</v>
      </c>
      <c r="C31" s="1480">
        <f>ROUNDUP(495230.49+495230.49*0.0138*1.2-B31,0)</f>
        <v>124099</v>
      </c>
      <c r="D31" s="1480">
        <v>125000</v>
      </c>
      <c r="E31" s="1481">
        <f t="shared" si="0"/>
        <v>124099</v>
      </c>
      <c r="F31" s="1482" t="s">
        <v>717</v>
      </c>
      <c r="G31" s="1483">
        <v>124099</v>
      </c>
      <c r="H31" s="1546"/>
      <c r="I31" s="1554"/>
      <c r="J31" s="1550"/>
      <c r="K31" s="1550"/>
      <c r="L31" s="1548"/>
      <c r="M31" s="1548"/>
      <c r="N31" s="1548"/>
      <c r="O31" s="1548"/>
      <c r="P31" s="1549">
        <v>4</v>
      </c>
      <c r="Q31" s="1485"/>
      <c r="R31" s="1550"/>
      <c r="S31" s="1486"/>
      <c r="T31" s="1486"/>
      <c r="U31" s="1488"/>
      <c r="V31" s="1487"/>
      <c r="W31" s="1536" t="s">
        <v>743</v>
      </c>
      <c r="X31" s="1555"/>
      <c r="Y31" s="1658"/>
      <c r="Z31" s="1658"/>
      <c r="AA31" s="1658"/>
      <c r="AB31" s="1435"/>
      <c r="AC31" s="1457"/>
      <c r="AD31" s="1457"/>
      <c r="AE31" s="1458"/>
      <c r="AF31" s="1459"/>
      <c r="AG31" s="1460"/>
      <c r="AH31" s="1460"/>
      <c r="AI31" s="1459"/>
      <c r="AJ31" s="1459"/>
      <c r="AK31" s="1461"/>
    </row>
    <row r="32" spans="1:37" s="1462" customFormat="1" x14ac:dyDescent="0.3">
      <c r="A32" s="1553" t="s">
        <v>650</v>
      </c>
      <c r="B32" s="1479">
        <v>764427.41</v>
      </c>
      <c r="C32" s="1480">
        <f>ROUNDUP(851101.66+851101.66*0.0138*1.2-B32,0)</f>
        <v>100769</v>
      </c>
      <c r="D32" s="1480">
        <v>100000</v>
      </c>
      <c r="E32" s="1481">
        <f t="shared" si="0"/>
        <v>100769</v>
      </c>
      <c r="F32" s="1482" t="s">
        <v>735</v>
      </c>
      <c r="G32" s="1483">
        <v>100769</v>
      </c>
      <c r="H32" s="1546"/>
      <c r="I32" s="1554"/>
      <c r="J32" s="1550"/>
      <c r="K32" s="1550"/>
      <c r="L32" s="1548"/>
      <c r="M32" s="1548"/>
      <c r="N32" s="1548"/>
      <c r="O32" s="1548"/>
      <c r="P32" s="1558">
        <v>7.38</v>
      </c>
      <c r="Q32" s="1485"/>
      <c r="R32" s="1550"/>
      <c r="S32" s="1486"/>
      <c r="T32" s="1486"/>
      <c r="U32" s="1488"/>
      <c r="V32" s="1489"/>
      <c r="W32" s="1536" t="s">
        <v>743</v>
      </c>
      <c r="X32" s="1555"/>
      <c r="Y32" s="1658"/>
      <c r="Z32" s="1658"/>
      <c r="AA32" s="1658"/>
      <c r="AB32" s="1435"/>
      <c r="AC32" s="1457"/>
      <c r="AD32" s="1457"/>
      <c r="AE32" s="1458"/>
      <c r="AF32" s="1459"/>
      <c r="AG32" s="1460"/>
      <c r="AH32" s="1460"/>
      <c r="AI32" s="1459"/>
      <c r="AJ32" s="1459"/>
      <c r="AK32" s="1461"/>
    </row>
    <row r="33" spans="1:49" s="1462" customFormat="1" ht="37.5" x14ac:dyDescent="0.3">
      <c r="A33" s="1553" t="s">
        <v>744</v>
      </c>
      <c r="B33" s="1479">
        <v>1005870.97</v>
      </c>
      <c r="C33" s="1480">
        <f>ROUNDUP(1022330.32+1022330.32*0.0138*1.2-B33,0)</f>
        <v>33390</v>
      </c>
      <c r="D33" s="1480">
        <v>10000</v>
      </c>
      <c r="E33" s="1481">
        <f t="shared" si="0"/>
        <v>33390</v>
      </c>
      <c r="F33" s="1482" t="s">
        <v>717</v>
      </c>
      <c r="G33" s="1483">
        <v>33390</v>
      </c>
      <c r="H33" s="1546"/>
      <c r="I33" s="1554"/>
      <c r="J33" s="1550"/>
      <c r="K33" s="1550"/>
      <c r="L33" s="1548"/>
      <c r="M33" s="1550">
        <v>1.58</v>
      </c>
      <c r="N33" s="1548"/>
      <c r="O33" s="1559">
        <f>3.397-M33</f>
        <v>1.8169999999999997</v>
      </c>
      <c r="P33" s="1549"/>
      <c r="Q33" s="1485"/>
      <c r="R33" s="1550"/>
      <c r="S33" s="1486"/>
      <c r="T33" s="1486"/>
      <c r="U33" s="1488"/>
      <c r="V33" s="1489"/>
      <c r="W33" s="1536" t="s">
        <v>743</v>
      </c>
      <c r="X33" s="1456"/>
      <c r="Y33" s="1658">
        <v>2126.6570000000002</v>
      </c>
      <c r="Z33" s="1658"/>
      <c r="AA33" s="1658"/>
      <c r="AB33" s="1435"/>
      <c r="AC33" s="1457"/>
      <c r="AD33" s="1457"/>
      <c r="AE33" s="1458"/>
      <c r="AF33" s="1459"/>
      <c r="AG33" s="1460"/>
      <c r="AH33" s="1460"/>
      <c r="AI33" s="1459"/>
      <c r="AJ33" s="1459"/>
      <c r="AK33" s="1461"/>
      <c r="AL33" s="1462">
        <v>2.35</v>
      </c>
      <c r="AM33" s="1462">
        <f>AL33*7</f>
        <v>16.45</v>
      </c>
    </row>
    <row r="34" spans="1:49" s="1462" customFormat="1" ht="37.5" x14ac:dyDescent="0.3">
      <c r="A34" s="1553" t="s">
        <v>745</v>
      </c>
      <c r="B34" s="1479">
        <v>327527.51</v>
      </c>
      <c r="C34" s="1480">
        <f>ROUNDUP(343748.71+343748.71*0.0138*1.2-B34,0)</f>
        <v>21914</v>
      </c>
      <c r="D34" s="1480">
        <v>23000</v>
      </c>
      <c r="E34" s="1481">
        <f t="shared" si="0"/>
        <v>21914</v>
      </c>
      <c r="F34" s="1482" t="s">
        <v>735</v>
      </c>
      <c r="G34" s="1483">
        <v>21914</v>
      </c>
      <c r="H34" s="1546"/>
      <c r="I34" s="1554"/>
      <c r="J34" s="1550"/>
      <c r="K34" s="1550"/>
      <c r="L34" s="1548"/>
      <c r="M34" s="1550"/>
      <c r="N34" s="1548"/>
      <c r="O34" s="1559"/>
      <c r="P34" s="1549">
        <v>3</v>
      </c>
      <c r="Q34" s="1485"/>
      <c r="R34" s="1550"/>
      <c r="S34" s="1486"/>
      <c r="T34" s="1486"/>
      <c r="U34" s="1488"/>
      <c r="V34" s="1489"/>
      <c r="W34" s="1536" t="s">
        <v>743</v>
      </c>
      <c r="X34" s="1456"/>
      <c r="Y34" s="1658"/>
      <c r="Z34" s="1658"/>
      <c r="AA34" s="1658"/>
      <c r="AB34" s="1435"/>
      <c r="AC34" s="1457"/>
      <c r="AD34" s="1457"/>
      <c r="AE34" s="1458"/>
      <c r="AF34" s="1459"/>
      <c r="AG34" s="1460"/>
      <c r="AH34" s="1460"/>
      <c r="AI34" s="1459"/>
      <c r="AJ34" s="1459"/>
      <c r="AK34" s="1461"/>
    </row>
    <row r="35" spans="1:49" s="1462" customFormat="1" ht="37.5" x14ac:dyDescent="0.3">
      <c r="A35" s="1553" t="s">
        <v>746</v>
      </c>
      <c r="B35" s="1479"/>
      <c r="C35" s="1480">
        <f>120000-55192</f>
        <v>64808</v>
      </c>
      <c r="D35" s="1480">
        <v>64057.15</v>
      </c>
      <c r="E35" s="1481">
        <f t="shared" si="0"/>
        <v>64808</v>
      </c>
      <c r="F35" s="1482" t="s">
        <v>735</v>
      </c>
      <c r="G35" s="1483">
        <v>64808</v>
      </c>
      <c r="H35" s="1546"/>
      <c r="I35" s="1554"/>
      <c r="J35" s="1550"/>
      <c r="K35" s="1550"/>
      <c r="L35" s="1548"/>
      <c r="M35" s="1550"/>
      <c r="N35" s="1548"/>
      <c r="O35" s="1559"/>
      <c r="P35" s="1549">
        <v>2</v>
      </c>
      <c r="Q35" s="1485"/>
      <c r="R35" s="1550"/>
      <c r="S35" s="1486"/>
      <c r="T35" s="1486"/>
      <c r="U35" s="1488"/>
      <c r="V35" s="1489"/>
      <c r="W35" s="1498" t="s">
        <v>747</v>
      </c>
      <c r="X35" s="1456"/>
      <c r="Y35" s="1658"/>
      <c r="Z35" s="1658"/>
      <c r="AA35" s="1658"/>
      <c r="AB35" s="1435"/>
      <c r="AC35" s="1457"/>
      <c r="AD35" s="1457"/>
      <c r="AE35" s="1458"/>
      <c r="AF35" s="1459"/>
      <c r="AG35" s="1460"/>
      <c r="AH35" s="1460"/>
      <c r="AI35" s="1459"/>
      <c r="AJ35" s="1459"/>
      <c r="AK35" s="1461"/>
    </row>
    <row r="36" spans="1:49" s="1462" customFormat="1" ht="37.5" x14ac:dyDescent="0.3">
      <c r="A36" s="1553" t="s">
        <v>748</v>
      </c>
      <c r="B36" s="1479"/>
      <c r="C36" s="1480">
        <f>ROUNDUP((215936.37-99678.62)*1.1+(215936.37-99678.62)*0.0138*1.2,0)</f>
        <v>129809</v>
      </c>
      <c r="D36" s="1480">
        <v>127468.99</v>
      </c>
      <c r="E36" s="1481">
        <f t="shared" si="0"/>
        <v>129809</v>
      </c>
      <c r="F36" s="1482" t="s">
        <v>717</v>
      </c>
      <c r="G36" s="1483">
        <v>129809</v>
      </c>
      <c r="H36" s="1546"/>
      <c r="I36" s="1554"/>
      <c r="J36" s="1550"/>
      <c r="K36" s="1550"/>
      <c r="L36" s="1548"/>
      <c r="M36" s="1550"/>
      <c r="N36" s="1548"/>
      <c r="O36" s="1559"/>
      <c r="P36" s="1549"/>
      <c r="Q36" s="1485">
        <v>4</v>
      </c>
      <c r="R36" s="1550"/>
      <c r="S36" s="1486"/>
      <c r="T36" s="1486"/>
      <c r="U36" s="1488"/>
      <c r="V36" s="1489"/>
      <c r="W36" s="1498" t="s">
        <v>747</v>
      </c>
      <c r="X36" s="1456"/>
      <c r="Y36" s="1658"/>
      <c r="Z36" s="1658"/>
      <c r="AA36" s="1658"/>
      <c r="AB36" s="1435"/>
      <c r="AC36" s="1457"/>
      <c r="AD36" s="1457"/>
      <c r="AE36" s="1458"/>
      <c r="AF36" s="1459"/>
      <c r="AG36" s="1460"/>
      <c r="AH36" s="1460"/>
      <c r="AI36" s="1459"/>
      <c r="AJ36" s="1459"/>
      <c r="AK36" s="1461"/>
    </row>
    <row r="37" spans="1:49" s="1462" customFormat="1" ht="37.5" x14ac:dyDescent="0.3">
      <c r="A37" s="1553" t="s">
        <v>749</v>
      </c>
      <c r="B37" s="1479"/>
      <c r="C37" s="1480">
        <f>ROUNDUP((19618.75*1.073+19618.75*1.073*0.0138),0)</f>
        <v>21342</v>
      </c>
      <c r="D37" s="1480">
        <v>20000</v>
      </c>
      <c r="E37" s="1481">
        <f t="shared" si="0"/>
        <v>21342</v>
      </c>
      <c r="F37" s="1482" t="s">
        <v>735</v>
      </c>
      <c r="G37" s="1483">
        <v>21342</v>
      </c>
      <c r="H37" s="1546"/>
      <c r="I37" s="1554"/>
      <c r="J37" s="1550"/>
      <c r="K37" s="1550"/>
      <c r="L37" s="1548"/>
      <c r="M37" s="1550"/>
      <c r="N37" s="1548"/>
      <c r="O37" s="1559"/>
      <c r="P37" s="1549"/>
      <c r="Q37" s="1485"/>
      <c r="R37" s="1550"/>
      <c r="S37" s="1486"/>
      <c r="T37" s="1486">
        <v>2</v>
      </c>
      <c r="U37" s="1488">
        <v>2</v>
      </c>
      <c r="V37" s="1489"/>
      <c r="W37" s="1498" t="s">
        <v>747</v>
      </c>
      <c r="X37" s="1456"/>
      <c r="Y37" s="1658">
        <v>15.834</v>
      </c>
      <c r="Z37" s="1658"/>
      <c r="AA37" s="1658">
        <v>3.7130000000000001</v>
      </c>
      <c r="AB37" s="1435"/>
      <c r="AC37" s="1457"/>
      <c r="AD37" s="1457"/>
      <c r="AE37" s="1458"/>
      <c r="AF37" s="1459"/>
      <c r="AG37" s="1460"/>
      <c r="AH37" s="1460"/>
      <c r="AI37" s="1459"/>
      <c r="AJ37" s="1459"/>
      <c r="AK37" s="1461"/>
    </row>
    <row r="38" spans="1:49" s="1462" customFormat="1" ht="21" customHeight="1" x14ac:dyDescent="0.3">
      <c r="A38" s="1560" t="s">
        <v>750</v>
      </c>
      <c r="B38" s="1479"/>
      <c r="C38" s="1480">
        <f>R38*AK48+U38*AK41</f>
        <v>77602.525400726314</v>
      </c>
      <c r="D38" s="1480">
        <v>77603</v>
      </c>
      <c r="E38" s="1481">
        <f t="shared" si="0"/>
        <v>77602.525400726314</v>
      </c>
      <c r="F38" s="1482" t="s">
        <v>735</v>
      </c>
      <c r="G38" s="1483">
        <v>77603</v>
      </c>
      <c r="H38" s="1561"/>
      <c r="I38" s="1485"/>
      <c r="J38" s="1486"/>
      <c r="K38" s="1486"/>
      <c r="L38" s="1486"/>
      <c r="M38" s="1486"/>
      <c r="N38" s="1486"/>
      <c r="O38" s="1486"/>
      <c r="P38" s="1487"/>
      <c r="Q38" s="1485"/>
      <c r="R38" s="1550">
        <v>0.25</v>
      </c>
      <c r="S38" s="1486"/>
      <c r="T38" s="1486"/>
      <c r="U38" s="1488">
        <v>1</v>
      </c>
      <c r="V38" s="1562"/>
      <c r="W38" s="1562"/>
      <c r="X38" s="1456"/>
      <c r="Y38" s="1658"/>
      <c r="Z38" s="1658"/>
      <c r="AA38" s="1658">
        <v>1.4279999999999999</v>
      </c>
      <c r="AB38" s="1435"/>
      <c r="AC38" s="1457"/>
      <c r="AD38" s="1457"/>
      <c r="AE38" s="1458"/>
      <c r="AF38" s="1459"/>
      <c r="AG38" s="1460"/>
      <c r="AH38" s="1460"/>
      <c r="AI38" s="1459"/>
      <c r="AJ38" s="1459"/>
      <c r="AK38" s="1461"/>
      <c r="AL38" s="1462">
        <f>AL33*2</f>
        <v>4.7</v>
      </c>
      <c r="AM38" s="1462">
        <f>1.5*AL38</f>
        <v>7.0500000000000007</v>
      </c>
    </row>
    <row r="39" spans="1:49" s="1462" customFormat="1" ht="37.5" x14ac:dyDescent="0.3">
      <c r="A39" s="1563" t="s">
        <v>751</v>
      </c>
      <c r="B39" s="1564"/>
      <c r="C39" s="1565">
        <f>ROUNDUP((AK53/12*14+AK46*T39+AK40/5*6*7*M39+AK45*M39*2*1.5+M39*10*AK43/10*1),0)</f>
        <v>976610</v>
      </c>
      <c r="D39" s="1565">
        <v>980000</v>
      </c>
      <c r="E39" s="1566">
        <f t="shared" si="0"/>
        <v>976610</v>
      </c>
      <c r="F39" s="1567" t="s">
        <v>752</v>
      </c>
      <c r="G39" s="1568">
        <v>976610</v>
      </c>
      <c r="H39" s="1569"/>
      <c r="I39" s="1570"/>
      <c r="J39" s="1571"/>
      <c r="K39" s="1571"/>
      <c r="L39" s="1571"/>
      <c r="M39" s="1571">
        <f>4.315-3.803+3.503-2.5+2.2-1.37</f>
        <v>2.3450000000000006</v>
      </c>
      <c r="N39" s="1571"/>
      <c r="O39" s="1571"/>
      <c r="P39" s="1572"/>
      <c r="Q39" s="1570"/>
      <c r="R39" s="1573"/>
      <c r="S39" s="1571"/>
      <c r="T39" s="1571"/>
      <c r="U39" s="1574"/>
      <c r="V39" s="1572">
        <v>1</v>
      </c>
      <c r="W39" s="1498" t="s">
        <v>753</v>
      </c>
      <c r="X39" s="1456"/>
      <c r="Y39" s="1658">
        <f>(L39*7)*(100.4+25.2*1)+(M39*7)*(100.4+25.2*2)</f>
        <v>2475.382000000001</v>
      </c>
      <c r="Z39" s="1658"/>
      <c r="AA39" s="1658"/>
      <c r="AB39" s="1435"/>
      <c r="AC39" s="1457"/>
      <c r="AD39" s="1457"/>
      <c r="AE39" s="1458"/>
      <c r="AF39" s="1459"/>
      <c r="AG39" s="1460"/>
      <c r="AH39" s="1460"/>
      <c r="AI39" s="1459"/>
      <c r="AJ39" s="1459"/>
      <c r="AK39" s="1461"/>
    </row>
    <row r="40" spans="1:49" s="1581" customFormat="1" ht="56.25" x14ac:dyDescent="0.3">
      <c r="A40" s="1494" t="s">
        <v>754</v>
      </c>
      <c r="B40" s="1479"/>
      <c r="C40" s="1480">
        <f>ROUNDUP(L40*7*AK40+L40*2*0.75*AK45,0)</f>
        <v>717966</v>
      </c>
      <c r="D40" s="1480">
        <v>1605434</v>
      </c>
      <c r="E40" s="1481">
        <f t="shared" si="0"/>
        <v>717966</v>
      </c>
      <c r="F40" s="1567" t="s">
        <v>752</v>
      </c>
      <c r="G40" s="1483">
        <v>1605434</v>
      </c>
      <c r="H40" s="1561"/>
      <c r="I40" s="1485"/>
      <c r="J40" s="1486"/>
      <c r="K40" s="1486"/>
      <c r="L40" s="1673">
        <f>8.425-6.125</f>
        <v>2.3000000000000007</v>
      </c>
      <c r="M40" s="1486">
        <f>8.425-6.125</f>
        <v>2.3000000000000007</v>
      </c>
      <c r="N40" s="1486"/>
      <c r="O40" s="1486"/>
      <c r="P40" s="1487"/>
      <c r="Q40" s="1485"/>
      <c r="R40" s="1550"/>
      <c r="S40" s="1486"/>
      <c r="T40" s="1486"/>
      <c r="U40" s="1486"/>
      <c r="V40" s="1562"/>
      <c r="W40" s="1498" t="s">
        <v>755</v>
      </c>
      <c r="X40" s="1575"/>
      <c r="Y40" s="1658">
        <f>(L40*7)*(100.4+25.2*1)*0+(M40*7)*(100.4+25.2*2)</f>
        <v>2427.880000000001</v>
      </c>
      <c r="Z40" s="1658"/>
      <c r="AA40" s="1658"/>
      <c r="AB40" s="1576" t="s">
        <v>262</v>
      </c>
      <c r="AC40" s="1577" t="s">
        <v>756</v>
      </c>
      <c r="AD40" s="1578" t="s">
        <v>757</v>
      </c>
      <c r="AE40" s="1458" t="s">
        <v>758</v>
      </c>
      <c r="AF40" s="1459">
        <v>37111.410000000003</v>
      </c>
      <c r="AG40" s="1460"/>
      <c r="AH40" s="1458" t="s">
        <v>739</v>
      </c>
      <c r="AI40" s="1459">
        <f>AF40*1.0082*1.0082*1.0082</f>
        <v>38031.857261669116</v>
      </c>
      <c r="AJ40" s="1459">
        <f t="shared" ref="AJ40:AJ53" si="1">AI40*1.1</f>
        <v>41835.04298783603</v>
      </c>
      <c r="AK40" s="1461">
        <f t="shared" ref="AK40:AK53" si="2">AJ40*1.0138</f>
        <v>42412.36658106817</v>
      </c>
      <c r="AL40" s="1579"/>
      <c r="AM40" s="1579">
        <f>AK40/5*6*AM33</f>
        <v>837220.11631028575</v>
      </c>
      <c r="AN40" s="1579"/>
      <c r="AO40" s="1580"/>
      <c r="AP40" s="1580"/>
      <c r="AQ40" s="1580"/>
      <c r="AR40" s="1580"/>
      <c r="AS40" s="1580"/>
      <c r="AT40" s="1580"/>
      <c r="AU40" s="1580"/>
      <c r="AV40" s="1580"/>
      <c r="AW40" s="1580"/>
    </row>
    <row r="41" spans="1:49" s="1581" customFormat="1" ht="56.25" x14ac:dyDescent="0.3">
      <c r="A41" s="1494" t="s">
        <v>759</v>
      </c>
      <c r="B41" s="1479"/>
      <c r="C41" s="1480">
        <f>ROUNDUP(0.45*6*AK40/5*6+0.45*2*0.5*AK45+AK44*0.45/1.5*1.2+0.45*(6+2*0.75)*AK43/10*5+9.88*0.45*1000*1.4,0)</f>
        <v>205927</v>
      </c>
      <c r="D41" s="1480">
        <v>217544</v>
      </c>
      <c r="E41" s="1481">
        <f t="shared" si="0"/>
        <v>205927</v>
      </c>
      <c r="F41" s="1482" t="s">
        <v>717</v>
      </c>
      <c r="G41" s="1483">
        <v>205927</v>
      </c>
      <c r="H41" s="1561"/>
      <c r="I41" s="1485"/>
      <c r="J41" s="1486"/>
      <c r="K41" s="1486"/>
      <c r="L41" s="1486"/>
      <c r="M41" s="1486">
        <f>0.45</f>
        <v>0.45</v>
      </c>
      <c r="N41" s="1486"/>
      <c r="O41" s="1486"/>
      <c r="P41" s="1487"/>
      <c r="Q41" s="1485">
        <f>0.45</f>
        <v>0.45</v>
      </c>
      <c r="R41" s="1550"/>
      <c r="S41" s="1486"/>
      <c r="T41" s="1486"/>
      <c r="U41" s="1486"/>
      <c r="V41" s="1562"/>
      <c r="W41" s="1536" t="s">
        <v>760</v>
      </c>
      <c r="X41" s="1575"/>
      <c r="Y41" s="1658">
        <f>(L41*7)*(100.4+25.2*1)+(M41*6)*(100.4+25.2*2)</f>
        <v>407.16000000000008</v>
      </c>
      <c r="Z41" s="1658"/>
      <c r="AA41" s="1665">
        <f>Q41*1.2*(96.4)</f>
        <v>52.056000000000004</v>
      </c>
      <c r="AB41" s="1576" t="s">
        <v>761</v>
      </c>
      <c r="AC41" s="1457">
        <v>1</v>
      </c>
      <c r="AD41" s="1457" t="s">
        <v>647</v>
      </c>
      <c r="AE41" s="1458" t="s">
        <v>738</v>
      </c>
      <c r="AF41" s="1459">
        <f>3659.43+1112.31+2560.06/55*15+609.53+1112.31+64.8</f>
        <v>7256.5781818181813</v>
      </c>
      <c r="AG41" s="1460"/>
      <c r="AH41" s="1458" t="s">
        <v>739</v>
      </c>
      <c r="AI41" s="1459">
        <f>AF41*1.0082*1.0082*1.0082</f>
        <v>7436.5578030867446</v>
      </c>
      <c r="AJ41" s="1459">
        <f t="shared" si="1"/>
        <v>8180.2135833954198</v>
      </c>
      <c r="AK41" s="1461">
        <f t="shared" si="2"/>
        <v>8293.1005308462773</v>
      </c>
      <c r="AL41" s="1579"/>
      <c r="AM41" s="1579"/>
      <c r="AN41" s="1579"/>
      <c r="AO41" s="1580"/>
      <c r="AP41" s="1580"/>
      <c r="AQ41" s="1580"/>
      <c r="AR41" s="1580"/>
      <c r="AS41" s="1580"/>
      <c r="AT41" s="1580"/>
      <c r="AU41" s="1580"/>
      <c r="AV41" s="1580"/>
      <c r="AW41" s="1580"/>
    </row>
    <row r="42" spans="1:49" s="1581" customFormat="1" ht="37.5" x14ac:dyDescent="0.3">
      <c r="A42" s="1494" t="s">
        <v>762</v>
      </c>
      <c r="B42" s="1479"/>
      <c r="C42" s="1480">
        <f>ROUNDUP(0.25*AK44+0.25*1.5*AK43/10*12*1.2,0)</f>
        <v>26035</v>
      </c>
      <c r="D42" s="1480">
        <v>50000</v>
      </c>
      <c r="E42" s="1481">
        <f>ROUNDUP(Q42*AK44+Q42*1.5*AK43/10*12+9.88*Q42*1000*1.4,0)</f>
        <v>54768</v>
      </c>
      <c r="F42" s="1482" t="s">
        <v>717</v>
      </c>
      <c r="G42" s="1483">
        <v>54768</v>
      </c>
      <c r="H42" s="1561"/>
      <c r="I42" s="1485"/>
      <c r="J42" s="1486"/>
      <c r="K42" s="1486"/>
      <c r="L42" s="1486"/>
      <c r="M42" s="1486"/>
      <c r="N42" s="1486"/>
      <c r="O42" s="1486"/>
      <c r="P42" s="1487"/>
      <c r="Q42" s="1485">
        <v>0.498</v>
      </c>
      <c r="R42" s="1550"/>
      <c r="S42" s="1486"/>
      <c r="T42" s="1486"/>
      <c r="U42" s="1486"/>
      <c r="V42" s="1562"/>
      <c r="W42" s="1536" t="s">
        <v>763</v>
      </c>
      <c r="X42" s="1575"/>
      <c r="Y42" s="1665"/>
      <c r="Z42" s="1665"/>
      <c r="AA42" s="1665">
        <f>Q42*1.2*(96.4)</f>
        <v>57.608640000000008</v>
      </c>
      <c r="AB42" s="1576"/>
      <c r="AC42" s="1457"/>
      <c r="AD42" s="1457"/>
      <c r="AE42" s="1458"/>
      <c r="AF42" s="1459"/>
      <c r="AG42" s="1460"/>
      <c r="AH42" s="1458"/>
      <c r="AI42" s="1459"/>
      <c r="AJ42" s="1459"/>
      <c r="AK42" s="1461"/>
      <c r="AL42" s="1579"/>
      <c r="AM42" s="1579"/>
      <c r="AN42" s="1579"/>
      <c r="AO42" s="1580"/>
      <c r="AP42" s="1580"/>
      <c r="AQ42" s="1580"/>
      <c r="AR42" s="1580"/>
      <c r="AS42" s="1580"/>
      <c r="AT42" s="1580"/>
      <c r="AU42" s="1580"/>
      <c r="AV42" s="1580"/>
      <c r="AW42" s="1580"/>
    </row>
    <row r="43" spans="1:49" s="1581" customFormat="1" ht="56.25" x14ac:dyDescent="0.3">
      <c r="A43" s="1494" t="s">
        <v>764</v>
      </c>
      <c r="B43" s="1479"/>
      <c r="C43" s="1480">
        <f>ROUNDUP(L43*6.5*AK40+L43*2*1*AK45+T43*AK46,0)</f>
        <v>2743490</v>
      </c>
      <c r="D43" s="1480">
        <v>2887915</v>
      </c>
      <c r="E43" s="1481">
        <f t="shared" si="0"/>
        <v>2743490</v>
      </c>
      <c r="F43" s="1482" t="s">
        <v>717</v>
      </c>
      <c r="G43" s="1483">
        <v>2743490</v>
      </c>
      <c r="H43" s="1561"/>
      <c r="I43" s="1485"/>
      <c r="J43" s="1486"/>
      <c r="K43" s="1486"/>
      <c r="L43" s="1486">
        <v>8.9619999999999997</v>
      </c>
      <c r="M43" s="1486"/>
      <c r="N43" s="1486"/>
      <c r="O43" s="1486"/>
      <c r="P43" s="1487"/>
      <c r="Q43" s="1485"/>
      <c r="R43" s="1550"/>
      <c r="S43" s="1486"/>
      <c r="T43" s="1486">
        <v>5</v>
      </c>
      <c r="U43" s="1486">
        <v>5</v>
      </c>
      <c r="V43" s="1562"/>
      <c r="W43" s="1498" t="s">
        <v>765</v>
      </c>
      <c r="X43" s="1575"/>
      <c r="Y43" s="1658">
        <f>(L43*6.5)*(100.4+25.2*1)+(M43*6)*(100.4+25.2*2)+15.834*T43</f>
        <v>7395.7468000000008</v>
      </c>
      <c r="Z43" s="1658"/>
      <c r="AA43" s="1665">
        <f>3.713*U43</f>
        <v>18.565000000000001</v>
      </c>
      <c r="AB43" s="1438" t="s">
        <v>766</v>
      </c>
      <c r="AC43" s="1577" t="s">
        <v>767</v>
      </c>
      <c r="AD43" s="1578" t="s">
        <v>757</v>
      </c>
      <c r="AE43" s="1458" t="s">
        <v>768</v>
      </c>
      <c r="AF43" s="1459">
        <v>18061.41</v>
      </c>
      <c r="AG43" s="1460"/>
      <c r="AH43" s="1458" t="s">
        <v>739</v>
      </c>
      <c r="AI43" s="1459">
        <f>AF43*1.0082*1.0082*1.0082*1.0082*1.0082*1.0082*1.0082*1.0082*1.0082*1.0082*1.0082*1.0082</f>
        <v>19921.038215050125</v>
      </c>
      <c r="AJ43" s="1459">
        <f t="shared" si="1"/>
        <v>21913.142036555138</v>
      </c>
      <c r="AK43" s="1461">
        <f t="shared" si="2"/>
        <v>22215.543396659599</v>
      </c>
      <c r="AL43" s="1579"/>
      <c r="AM43" s="1579"/>
      <c r="AN43" s="1579"/>
      <c r="AO43" s="1580"/>
      <c r="AP43" s="1580"/>
      <c r="AQ43" s="1580"/>
      <c r="AR43" s="1580"/>
      <c r="AS43" s="1580"/>
      <c r="AT43" s="1580"/>
      <c r="AU43" s="1580"/>
      <c r="AV43" s="1580"/>
      <c r="AW43" s="1580"/>
    </row>
    <row r="44" spans="1:49" s="1581" customFormat="1" ht="56.25" x14ac:dyDescent="0.3">
      <c r="A44" s="1494" t="s">
        <v>769</v>
      </c>
      <c r="B44" s="1479"/>
      <c r="C44" s="1480">
        <f>ROUNDUP(L44*6.5*AK40+L44*2*1*AK45+T44*AK46,0)</f>
        <v>1368632</v>
      </c>
      <c r="D44" s="1480">
        <v>1509908</v>
      </c>
      <c r="E44" s="1481">
        <f t="shared" si="0"/>
        <v>1368632</v>
      </c>
      <c r="F44" s="1482" t="s">
        <v>717</v>
      </c>
      <c r="G44" s="1483">
        <v>1368632</v>
      </c>
      <c r="H44" s="1561"/>
      <c r="I44" s="1485"/>
      <c r="J44" s="1486"/>
      <c r="K44" s="1486"/>
      <c r="L44" s="1486">
        <v>4.5010000000000003</v>
      </c>
      <c r="M44" s="1486"/>
      <c r="N44" s="1486"/>
      <c r="O44" s="1486"/>
      <c r="P44" s="1487"/>
      <c r="Q44" s="1485"/>
      <c r="R44" s="1550"/>
      <c r="S44" s="1486"/>
      <c r="T44" s="1486">
        <v>2</v>
      </c>
      <c r="U44" s="1486">
        <v>2</v>
      </c>
      <c r="V44" s="1562"/>
      <c r="W44" s="1498" t="s">
        <v>770</v>
      </c>
      <c r="X44" s="1575"/>
      <c r="Y44" s="1658">
        <f>(L44*6.5)*(100.4+25.2*1)+(M44*6)*(100.4+25.2*2)+15.834*T44</f>
        <v>3706.2844000000009</v>
      </c>
      <c r="Z44" s="1658"/>
      <c r="AA44" s="1665">
        <f>3.713*U44</f>
        <v>7.4260000000000002</v>
      </c>
      <c r="AB44" s="1438" t="s">
        <v>771</v>
      </c>
      <c r="AC44" s="1582">
        <v>1</v>
      </c>
      <c r="AD44" s="1457" t="s">
        <v>737</v>
      </c>
      <c r="AE44" s="1458" t="s">
        <v>772</v>
      </c>
      <c r="AF44" s="1459">
        <f>(1319.05+3002.22+7362.03+41825.14+82450.93+175623.41+22976.32)/7.85/2*1.5*1.5</f>
        <v>47946.367834394914</v>
      </c>
      <c r="AG44" s="1460"/>
      <c r="AH44" s="1458" t="s">
        <v>739</v>
      </c>
      <c r="AI44" s="1459">
        <f>AF44*1.0082*1.0082*1.0082*1.0082*1.0082*1.0082</f>
        <v>50354.21982262309</v>
      </c>
      <c r="AJ44" s="1459">
        <f t="shared" si="1"/>
        <v>55389.641804885403</v>
      </c>
      <c r="AK44" s="1461">
        <f t="shared" si="2"/>
        <v>56154.018861792822</v>
      </c>
      <c r="AL44" s="1579"/>
      <c r="AM44" s="1579"/>
      <c r="AN44" s="1579"/>
      <c r="AO44" s="1580"/>
      <c r="AP44" s="1580"/>
      <c r="AQ44" s="1580"/>
      <c r="AR44" s="1580"/>
      <c r="AS44" s="1580"/>
      <c r="AT44" s="1580"/>
      <c r="AU44" s="1580"/>
      <c r="AV44" s="1580"/>
      <c r="AW44" s="1580"/>
    </row>
    <row r="45" spans="1:49" s="1581" customFormat="1" ht="75" x14ac:dyDescent="0.3">
      <c r="A45" s="1494" t="s">
        <v>773</v>
      </c>
      <c r="B45" s="1479"/>
      <c r="C45" s="1480">
        <f>L45*6.5*AK40*1.05+L45*2*0.75*AK45+T45*AK46</f>
        <v>2697889.5655373768</v>
      </c>
      <c r="D45" s="1480">
        <v>2889738</v>
      </c>
      <c r="E45" s="1481">
        <f t="shared" si="0"/>
        <v>2697889.5655373768</v>
      </c>
      <c r="F45" s="1482" t="s">
        <v>717</v>
      </c>
      <c r="G45" s="1483">
        <v>2697890</v>
      </c>
      <c r="H45" s="1561"/>
      <c r="I45" s="1485"/>
      <c r="J45" s="1486"/>
      <c r="K45" s="1486"/>
      <c r="L45" s="1486">
        <v>8.6159999999999997</v>
      </c>
      <c r="M45" s="1486"/>
      <c r="N45" s="1486"/>
      <c r="O45" s="1486"/>
      <c r="P45" s="1487"/>
      <c r="Q45" s="1485"/>
      <c r="R45" s="1550"/>
      <c r="S45" s="1486"/>
      <c r="T45" s="1486">
        <v>4</v>
      </c>
      <c r="U45" s="1486">
        <v>4</v>
      </c>
      <c r="V45" s="1562"/>
      <c r="W45" s="1498" t="s">
        <v>774</v>
      </c>
      <c r="X45" s="1575"/>
      <c r="Y45" s="1658">
        <f>(L45*6.5)*(100.4+25.2*1)+(M45*6)*(100.4+25.2*2)+15.834*T45</f>
        <v>7097.4384</v>
      </c>
      <c r="Z45" s="1658"/>
      <c r="AA45" s="1665">
        <f>3.713*U45</f>
        <v>14.852</v>
      </c>
      <c r="AB45" s="1438" t="s">
        <v>775</v>
      </c>
      <c r="AC45" s="1577" t="s">
        <v>776</v>
      </c>
      <c r="AD45" s="1578" t="s">
        <v>757</v>
      </c>
      <c r="AE45" s="1458" t="s">
        <v>758</v>
      </c>
      <c r="AF45" s="1459">
        <v>8909.1299999999992</v>
      </c>
      <c r="AG45" s="1460"/>
      <c r="AH45" s="1458" t="s">
        <v>739</v>
      </c>
      <c r="AI45" s="1459">
        <f>AF45*1.0082*1.0082*1.0082</f>
        <v>9130.0966599127878</v>
      </c>
      <c r="AJ45" s="1459">
        <f t="shared" si="1"/>
        <v>10043.106325904067</v>
      </c>
      <c r="AK45" s="1461">
        <f t="shared" si="2"/>
        <v>10181.701193201545</v>
      </c>
      <c r="AL45" s="1579"/>
      <c r="AM45" s="1579">
        <f>AK45*AM38</f>
        <v>71780.993412070893</v>
      </c>
      <c r="AN45" s="1579"/>
      <c r="AO45" s="1580"/>
      <c r="AP45" s="1580"/>
      <c r="AQ45" s="1580"/>
      <c r="AR45" s="1580"/>
      <c r="AS45" s="1580"/>
      <c r="AT45" s="1580"/>
      <c r="AU45" s="1580"/>
      <c r="AV45" s="1580"/>
      <c r="AW45" s="1580"/>
    </row>
    <row r="46" spans="1:49" s="1581" customFormat="1" ht="37.5" x14ac:dyDescent="0.3">
      <c r="A46" s="1494" t="s">
        <v>777</v>
      </c>
      <c r="B46" s="1479"/>
      <c r="C46" s="1480">
        <f>ROUNDUP(L46*6.5*AK40+L46*0.75*2*AK45+Q46*AK44/1.5*1.2+9.88*Q46*1000*1.4,0)</f>
        <v>853557</v>
      </c>
      <c r="D46" s="1480">
        <v>913428</v>
      </c>
      <c r="E46" s="1481">
        <f t="shared" si="0"/>
        <v>853557</v>
      </c>
      <c r="F46" s="1482" t="s">
        <v>717</v>
      </c>
      <c r="G46" s="1483">
        <v>853557</v>
      </c>
      <c r="H46" s="1561"/>
      <c r="I46" s="1485"/>
      <c r="J46" s="1486"/>
      <c r="K46" s="1486"/>
      <c r="L46" s="1486">
        <v>2.8650000000000002</v>
      </c>
      <c r="M46" s="1486"/>
      <c r="N46" s="1486"/>
      <c r="O46" s="1486"/>
      <c r="P46" s="1487"/>
      <c r="Q46" s="1485">
        <v>0.34</v>
      </c>
      <c r="R46" s="1550"/>
      <c r="S46" s="1486"/>
      <c r="T46" s="1486"/>
      <c r="U46" s="1486"/>
      <c r="V46" s="1562"/>
      <c r="W46" s="1498" t="s">
        <v>778</v>
      </c>
      <c r="X46" s="1575"/>
      <c r="Y46" s="1658">
        <f>(L46*6.5)*(100.4+25.2*1)+(M46*6)*(100.4+25.2*2)</f>
        <v>2338.9860000000003</v>
      </c>
      <c r="Z46" s="1658"/>
      <c r="AA46" s="1665">
        <f t="shared" ref="AA46:AA47" si="3">Q46*1.2*(96.4)</f>
        <v>39.331200000000003</v>
      </c>
      <c r="AB46" s="1438" t="s">
        <v>779</v>
      </c>
      <c r="AC46" s="1457">
        <v>1</v>
      </c>
      <c r="AD46" s="1457" t="s">
        <v>647</v>
      </c>
      <c r="AE46" s="1458" t="s">
        <v>738</v>
      </c>
      <c r="AF46" s="1459">
        <v>15810.62</v>
      </c>
      <c r="AG46" s="1460"/>
      <c r="AH46" s="1458" t="s">
        <v>739</v>
      </c>
      <c r="AI46" s="1459">
        <f>AF46*1.0082*1.0082*1.0082</f>
        <v>16202.759287736328</v>
      </c>
      <c r="AJ46" s="1459">
        <f t="shared" si="1"/>
        <v>17823.035216509961</v>
      </c>
      <c r="AK46" s="1461">
        <f t="shared" si="2"/>
        <v>18068.9931024978</v>
      </c>
      <c r="AL46" s="1579"/>
      <c r="AM46" s="1579">
        <f>AM45+AM40+30000+C39*2</f>
        <v>2892221.1097223568</v>
      </c>
      <c r="AN46" s="1579"/>
      <c r="AO46" s="1580"/>
      <c r="AP46" s="1580"/>
      <c r="AQ46" s="1580"/>
      <c r="AR46" s="1580"/>
      <c r="AS46" s="1580"/>
      <c r="AT46" s="1580"/>
      <c r="AU46" s="1580"/>
      <c r="AV46" s="1580"/>
      <c r="AW46" s="1580"/>
    </row>
    <row r="47" spans="1:49" s="1580" customFormat="1" ht="37.5" x14ac:dyDescent="0.3">
      <c r="A47" s="1583" t="s">
        <v>780</v>
      </c>
      <c r="B47" s="1479"/>
      <c r="C47" s="1480">
        <f>ROUNDUP(L47*7*AK40+L47*2*0.75*AK45+4*AK44+R47*AK48,0)</f>
        <v>2040076</v>
      </c>
      <c r="D47" s="1480">
        <f>2012351+20000</f>
        <v>2032351</v>
      </c>
      <c r="E47" s="1481">
        <f>ROUNDUP(L47*7*AK40/5*4.9+(L47+L47-Q47)*0.5*AK45+Q47*AK44+9.88*Q47*1000*1.4+R47*AK48+20000+6179,0)</f>
        <v>1977057</v>
      </c>
      <c r="F47" s="1482" t="s">
        <v>717</v>
      </c>
      <c r="G47" s="1483">
        <v>1977057</v>
      </c>
      <c r="H47" s="1561"/>
      <c r="I47" s="1485"/>
      <c r="J47" s="1486"/>
      <c r="K47" s="1486"/>
      <c r="L47" s="1486">
        <v>5.7270000000000003</v>
      </c>
      <c r="M47" s="1486"/>
      <c r="N47" s="1486"/>
      <c r="O47" s="1486"/>
      <c r="P47" s="1584"/>
      <c r="Q47" s="1585">
        <f>(1.86-1.61)+(5.65-2.84)</f>
        <v>3.0600000000000005</v>
      </c>
      <c r="R47" s="1550">
        <v>0.1</v>
      </c>
      <c r="S47" s="1486"/>
      <c r="T47" s="1486"/>
      <c r="U47" s="1486"/>
      <c r="V47" s="1586"/>
      <c r="W47" s="1498" t="s">
        <v>781</v>
      </c>
      <c r="X47" s="1575"/>
      <c r="Y47" s="1658">
        <f>(L47*7)*(100.4+25.2*0.9)+(M47*6)*(100.4+25.2*2)</f>
        <v>4934.1541200000001</v>
      </c>
      <c r="Z47" s="1658"/>
      <c r="AA47" s="1665">
        <f t="shared" si="3"/>
        <v>353.9808000000001</v>
      </c>
      <c r="AB47" s="1576" t="s">
        <v>782</v>
      </c>
      <c r="AC47" s="1457">
        <v>1</v>
      </c>
      <c r="AD47" s="1457" t="s">
        <v>737</v>
      </c>
      <c r="AE47" s="1458" t="s">
        <v>772</v>
      </c>
      <c r="AF47" s="1459">
        <f>215936.37/1.368</f>
        <v>157848.2236842105</v>
      </c>
      <c r="AG47" s="1460"/>
      <c r="AH47" s="1458" t="s">
        <v>739</v>
      </c>
      <c r="AI47" s="1459">
        <f>AF47*1.0082*1.0082*1.0082*1.0082*1.0082*1.0082</f>
        <v>165775.31339722237</v>
      </c>
      <c r="AJ47" s="1459">
        <f t="shared" si="1"/>
        <v>182352.84473694462</v>
      </c>
      <c r="AK47" s="1461">
        <f t="shared" si="2"/>
        <v>184869.31399431446</v>
      </c>
      <c r="AL47" s="1579"/>
      <c r="AM47" s="1579"/>
      <c r="AN47" s="1579"/>
    </row>
    <row r="48" spans="1:49" s="1580" customFormat="1" ht="37.5" x14ac:dyDescent="0.3">
      <c r="A48" s="1494" t="s">
        <v>651</v>
      </c>
      <c r="B48" s="1479"/>
      <c r="C48" s="1480">
        <f>ROUNDUP(M48*7*AK40/5*6+M48*2*0.5*AK45+M48*(7+2*0.5)*AK43/10*2,0)</f>
        <v>2886292</v>
      </c>
      <c r="D48" s="1480">
        <v>2817521</v>
      </c>
      <c r="E48" s="1481">
        <f t="shared" si="0"/>
        <v>2886292</v>
      </c>
      <c r="F48" s="1482" t="s">
        <v>717</v>
      </c>
      <c r="G48" s="1483">
        <v>2886292</v>
      </c>
      <c r="H48" s="1561"/>
      <c r="I48" s="1485"/>
      <c r="J48" s="1486"/>
      <c r="K48" s="1486"/>
      <c r="L48" s="1486"/>
      <c r="M48" s="1486">
        <v>7.18</v>
      </c>
      <c r="N48" s="1486"/>
      <c r="O48" s="1486"/>
      <c r="P48" s="1584"/>
      <c r="Q48" s="1585"/>
      <c r="R48" s="1550"/>
      <c r="S48" s="1486"/>
      <c r="T48" s="1486"/>
      <c r="U48" s="1486"/>
      <c r="V48" s="1586"/>
      <c r="W48" s="1536" t="s">
        <v>783</v>
      </c>
      <c r="X48" s="1575"/>
      <c r="Y48" s="1658">
        <f>(L48*7)*(100.4+25.2*1)+(M48*7)*(100.4+25.2*2)</f>
        <v>7579.2080000000005</v>
      </c>
      <c r="Z48" s="1658"/>
      <c r="AA48" s="1665"/>
      <c r="AB48" s="1576" t="s">
        <v>784</v>
      </c>
      <c r="AC48" s="1457">
        <v>1</v>
      </c>
      <c r="AD48" s="1457" t="s">
        <v>737</v>
      </c>
      <c r="AE48" s="1458" t="s">
        <v>738</v>
      </c>
      <c r="AF48" s="1459">
        <f>365394/1.50624</f>
        <v>242586.83875079668</v>
      </c>
      <c r="AG48" s="1460"/>
      <c r="AH48" s="1458" t="s">
        <v>739</v>
      </c>
      <c r="AI48" s="1459">
        <f>AF48*1.0082*1.0082*1.0082</f>
        <v>248603.54335579916</v>
      </c>
      <c r="AJ48" s="1459">
        <f t="shared" si="1"/>
        <v>273463.89769137913</v>
      </c>
      <c r="AK48" s="1461">
        <f t="shared" si="2"/>
        <v>277237.69947952015</v>
      </c>
      <c r="AL48" s="1579"/>
      <c r="AM48" s="1579"/>
      <c r="AN48" s="1579"/>
    </row>
    <row r="49" spans="1:40" s="1580" customFormat="1" x14ac:dyDescent="0.3">
      <c r="A49" s="1587" t="s">
        <v>785</v>
      </c>
      <c r="B49" s="1464"/>
      <c r="C49" s="1465">
        <f>ROUNDUP(Q49*AK44/1.5*1.2+Q49*1.5*AK43/10*12*1.2+9.88*Q49*1000*1.4,0)</f>
        <v>65112</v>
      </c>
      <c r="D49" s="1465"/>
      <c r="E49" s="1466">
        <f t="shared" si="0"/>
        <v>65112</v>
      </c>
      <c r="F49" s="1482" t="s">
        <v>717</v>
      </c>
      <c r="G49" s="1468">
        <v>65112</v>
      </c>
      <c r="H49" s="1561"/>
      <c r="I49" s="1485"/>
      <c r="J49" s="1486"/>
      <c r="K49" s="1486"/>
      <c r="L49" s="1486"/>
      <c r="M49" s="1486"/>
      <c r="N49" s="1486"/>
      <c r="O49" s="1486"/>
      <c r="P49" s="1584"/>
      <c r="Q49" s="1585">
        <v>0.61</v>
      </c>
      <c r="R49" s="1550"/>
      <c r="S49" s="1486"/>
      <c r="T49" s="1486"/>
      <c r="U49" s="1486"/>
      <c r="V49" s="1586"/>
      <c r="W49" s="1496" t="s">
        <v>786</v>
      </c>
      <c r="X49" s="1575"/>
      <c r="Y49" s="1665"/>
      <c r="Z49" s="1665"/>
      <c r="AA49" s="1665">
        <f>Q49*1.2*(96.4)</f>
        <v>70.564800000000005</v>
      </c>
      <c r="AB49" s="1576"/>
      <c r="AC49" s="1457"/>
      <c r="AD49" s="1457"/>
      <c r="AE49" s="1458"/>
      <c r="AF49" s="1459"/>
      <c r="AG49" s="1460"/>
      <c r="AH49" s="1458"/>
      <c r="AI49" s="1459"/>
      <c r="AJ49" s="1459"/>
      <c r="AK49" s="1461"/>
      <c r="AL49" s="1579"/>
      <c r="AM49" s="1579"/>
      <c r="AN49" s="1579"/>
    </row>
    <row r="50" spans="1:40" s="1580" customFormat="1" ht="56.25" x14ac:dyDescent="0.3">
      <c r="A50" s="1587" t="s">
        <v>787</v>
      </c>
      <c r="B50" s="1464"/>
      <c r="C50" s="1480">
        <f>ROUNDUP(O50*4.5*AK43/10*9.5,0)+ROUNDUP(P50*4.5*AK43/10*18,0)</f>
        <v>471559</v>
      </c>
      <c r="D50" s="1465"/>
      <c r="E50" s="1466">
        <f t="shared" si="0"/>
        <v>471559</v>
      </c>
      <c r="F50" s="1482" t="s">
        <v>717</v>
      </c>
      <c r="G50" s="1468">
        <v>471559</v>
      </c>
      <c r="H50" s="1561"/>
      <c r="I50" s="1485"/>
      <c r="J50" s="1486"/>
      <c r="K50" s="1486"/>
      <c r="L50" s="1486"/>
      <c r="M50" s="1486"/>
      <c r="N50" s="1486"/>
      <c r="O50" s="1486">
        <v>3.98</v>
      </c>
      <c r="P50" s="1584">
        <v>0.52</v>
      </c>
      <c r="Q50" s="1585"/>
      <c r="R50" s="1550"/>
      <c r="S50" s="1486"/>
      <c r="T50" s="1486"/>
      <c r="U50" s="1486"/>
      <c r="V50" s="1586"/>
      <c r="W50" s="1496" t="s">
        <v>788</v>
      </c>
      <c r="X50" s="1575"/>
      <c r="Y50" s="1665"/>
      <c r="Z50" s="1665"/>
      <c r="AA50" s="1665"/>
      <c r="AB50" s="1576"/>
      <c r="AC50" s="1457"/>
      <c r="AD50" s="1457"/>
      <c r="AE50" s="1458"/>
      <c r="AF50" s="1459"/>
      <c r="AG50" s="1460"/>
      <c r="AH50" s="1458"/>
      <c r="AI50" s="1459"/>
      <c r="AJ50" s="1459"/>
      <c r="AK50" s="1461"/>
      <c r="AL50" s="1579"/>
      <c r="AM50" s="1579"/>
      <c r="AN50" s="1579"/>
    </row>
    <row r="51" spans="1:40" s="1516" customFormat="1" ht="20.25" thickBot="1" x14ac:dyDescent="0.35">
      <c r="A51" s="1499" t="s">
        <v>789</v>
      </c>
      <c r="B51" s="1500">
        <f>SUM(B28:B50)</f>
        <v>2477158.9699999997</v>
      </c>
      <c r="C51" s="1501">
        <f>SUM(C28:C50)</f>
        <v>16014751.090938102</v>
      </c>
      <c r="D51" s="1500">
        <f>SUM(D28:D50)</f>
        <v>16908152.140000001</v>
      </c>
      <c r="E51" s="1501">
        <f>SUM(E28:E50)</f>
        <v>15980465.090938102</v>
      </c>
      <c r="F51" s="1502"/>
      <c r="G51" s="1503">
        <f>SUM(G28:G50)</f>
        <v>16867934</v>
      </c>
      <c r="H51" s="1504"/>
      <c r="I51" s="1505"/>
      <c r="J51" s="1506"/>
      <c r="K51" s="1506"/>
      <c r="L51" s="1506"/>
      <c r="M51" s="1506"/>
      <c r="N51" s="1506"/>
      <c r="O51" s="1506"/>
      <c r="P51" s="1507"/>
      <c r="Q51" s="1505"/>
      <c r="R51" s="1506"/>
      <c r="S51" s="1506"/>
      <c r="T51" s="1506"/>
      <c r="U51" s="1508"/>
      <c r="V51" s="1507"/>
      <c r="W51" s="1509"/>
      <c r="X51" s="1510"/>
      <c r="Y51" s="1666"/>
      <c r="Z51" s="1666"/>
      <c r="AA51" s="1666"/>
      <c r="AB51" s="1511"/>
      <c r="AC51" s="1512"/>
      <c r="AD51" s="1512"/>
      <c r="AE51" s="1513"/>
      <c r="AF51" s="1514"/>
      <c r="AG51" s="1515"/>
      <c r="AH51" s="1515"/>
      <c r="AI51" s="1514"/>
      <c r="AJ51" s="1514"/>
      <c r="AK51" s="1512"/>
    </row>
    <row r="52" spans="1:40" s="1580" customFormat="1" ht="19.5" thickBot="1" x14ac:dyDescent="0.35">
      <c r="A52" s="1588"/>
      <c r="B52" s="1589"/>
      <c r="C52" s="1590"/>
      <c r="D52" s="1590"/>
      <c r="E52" s="1591"/>
      <c r="F52" s="1592"/>
      <c r="G52" s="1593"/>
      <c r="H52" s="1594"/>
      <c r="I52" s="1595"/>
      <c r="J52" s="1596"/>
      <c r="K52" s="1596"/>
      <c r="L52" s="1596"/>
      <c r="M52" s="1596"/>
      <c r="N52" s="1596"/>
      <c r="O52" s="1596"/>
      <c r="P52" s="1597"/>
      <c r="Q52" s="1598"/>
      <c r="R52" s="1599"/>
      <c r="S52" s="1596"/>
      <c r="T52" s="1596"/>
      <c r="U52" s="1596"/>
      <c r="V52" s="1600"/>
      <c r="W52" s="1601"/>
      <c r="X52" s="1575"/>
      <c r="Y52" s="1667"/>
      <c r="Z52" s="1667"/>
      <c r="AA52" s="1667"/>
      <c r="AB52" s="1576"/>
      <c r="AC52" s="1457"/>
      <c r="AD52" s="1457"/>
      <c r="AE52" s="1458"/>
      <c r="AF52" s="1459"/>
      <c r="AG52" s="1460"/>
      <c r="AH52" s="1458"/>
      <c r="AI52" s="1459"/>
      <c r="AJ52" s="1459"/>
      <c r="AK52" s="1461"/>
      <c r="AL52" s="1579"/>
      <c r="AM52" s="1579"/>
      <c r="AN52" s="1579"/>
    </row>
    <row r="53" spans="1:40" s="1614" customFormat="1" ht="22.5" customHeight="1" thickBot="1" x14ac:dyDescent="0.35">
      <c r="A53" s="2466" t="s">
        <v>790</v>
      </c>
      <c r="B53" s="2468">
        <f>B51+B26+B20</f>
        <v>9583468.0500000007</v>
      </c>
      <c r="C53" s="2470">
        <f>C51+C26+C20</f>
        <v>31147218.090938102</v>
      </c>
      <c r="D53" s="2468">
        <f>D51+D26+D20</f>
        <v>18625821.140000001</v>
      </c>
      <c r="E53" s="2470">
        <f>E51+E26+E20</f>
        <v>17738352.140938103</v>
      </c>
      <c r="F53" s="1602"/>
      <c r="G53" s="2472">
        <f>G51+G26+G20</f>
        <v>18566535</v>
      </c>
      <c r="H53" s="2468">
        <f>SUM(H12:H51)</f>
        <v>350</v>
      </c>
      <c r="I53" s="1603">
        <f t="shared" ref="I53:V53" si="4">SUM(I12:I51)</f>
        <v>0</v>
      </c>
      <c r="J53" s="1603">
        <f t="shared" si="4"/>
        <v>0</v>
      </c>
      <c r="K53" s="1603">
        <f t="shared" si="4"/>
        <v>0</v>
      </c>
      <c r="L53" s="1603">
        <f t="shared" si="4"/>
        <v>32.971000000000004</v>
      </c>
      <c r="M53" s="1603">
        <f t="shared" si="4"/>
        <v>13.855</v>
      </c>
      <c r="N53" s="1603">
        <f t="shared" si="4"/>
        <v>0</v>
      </c>
      <c r="O53" s="1603">
        <f t="shared" si="4"/>
        <v>7.7969999999999997</v>
      </c>
      <c r="P53" s="1604">
        <f t="shared" si="4"/>
        <v>18.2</v>
      </c>
      <c r="Q53" s="2468">
        <f t="shared" si="4"/>
        <v>8.9580000000000002</v>
      </c>
      <c r="R53" s="2468">
        <f t="shared" si="4"/>
        <v>0.35</v>
      </c>
      <c r="S53" s="1605">
        <f t="shared" si="4"/>
        <v>0</v>
      </c>
      <c r="T53" s="2468">
        <f t="shared" si="4"/>
        <v>13</v>
      </c>
      <c r="U53" s="2468">
        <f t="shared" si="4"/>
        <v>14</v>
      </c>
      <c r="V53" s="2468">
        <f t="shared" si="4"/>
        <v>1</v>
      </c>
      <c r="W53" s="1606"/>
      <c r="X53" s="1607"/>
      <c r="Y53" s="1668">
        <f>SUM(Y12:Y52)</f>
        <v>44441.889450000002</v>
      </c>
      <c r="Z53" s="1668">
        <f t="shared" ref="Z53:AA53" si="5">SUM(Z12:Z52)</f>
        <v>12526.05788</v>
      </c>
      <c r="AA53" s="1668">
        <f t="shared" si="5"/>
        <v>1612.0224400000002</v>
      </c>
      <c r="AB53" s="1608" t="s">
        <v>791</v>
      </c>
      <c r="AC53" s="1609">
        <v>12</v>
      </c>
      <c r="AD53" s="1609" t="s">
        <v>327</v>
      </c>
      <c r="AE53" s="1610" t="s">
        <v>768</v>
      </c>
      <c r="AF53" s="1611">
        <v>12158.448</v>
      </c>
      <c r="AG53" s="1612"/>
      <c r="AH53" s="1610" t="s">
        <v>739</v>
      </c>
      <c r="AI53" s="1611">
        <f>AF53*1.0082*1.0082*1.0082*1.0082*1.0082*1.0082*1.0082*1.0082*1.0082*1.0082*1.0082*1.0082</f>
        <v>13410.298932569482</v>
      </c>
      <c r="AJ53" s="1611">
        <f t="shared" si="1"/>
        <v>14751.328825826431</v>
      </c>
      <c r="AK53" s="1512">
        <f t="shared" si="2"/>
        <v>14954.897163622836</v>
      </c>
      <c r="AL53" s="1613"/>
      <c r="AM53" s="1613"/>
      <c r="AN53" s="1613"/>
    </row>
    <row r="54" spans="1:40" s="1462" customFormat="1" ht="22.5" customHeight="1" thickBot="1" x14ac:dyDescent="0.35">
      <c r="A54" s="2467"/>
      <c r="B54" s="2469"/>
      <c r="C54" s="2471"/>
      <c r="D54" s="2469"/>
      <c r="E54" s="2471"/>
      <c r="F54" s="1615"/>
      <c r="G54" s="2473"/>
      <c r="H54" s="2469"/>
      <c r="I54" s="2461">
        <f>SUM(I53:P53)</f>
        <v>72.823000000000008</v>
      </c>
      <c r="J54" s="2462"/>
      <c r="K54" s="2462"/>
      <c r="L54" s="2462"/>
      <c r="M54" s="2462"/>
      <c r="N54" s="2462"/>
      <c r="O54" s="2462"/>
      <c r="P54" s="2463"/>
      <c r="Q54" s="2469"/>
      <c r="R54" s="2469"/>
      <c r="S54" s="1616"/>
      <c r="T54" s="2469"/>
      <c r="U54" s="2469"/>
      <c r="V54" s="2469"/>
      <c r="W54" s="1616"/>
      <c r="X54" s="1456"/>
      <c r="Y54" s="2489">
        <f>Y53+AA53</f>
        <v>46053.911890000003</v>
      </c>
      <c r="Z54" s="2489"/>
      <c r="AA54" s="2489"/>
      <c r="AB54" s="1435"/>
      <c r="AC54" s="1617"/>
      <c r="AD54" s="1617"/>
      <c r="AE54" s="1557"/>
      <c r="AF54" s="1618"/>
      <c r="AG54" s="1557"/>
      <c r="AH54" s="1557"/>
      <c r="AI54" s="1618"/>
      <c r="AJ54" s="1618"/>
      <c r="AK54" s="1557"/>
    </row>
    <row r="55" spans="1:40" s="1462" customFormat="1" ht="22.5" customHeight="1" x14ac:dyDescent="0.3">
      <c r="A55" s="1619"/>
      <c r="B55" s="1616"/>
      <c r="C55" s="1616"/>
      <c r="D55" s="1616"/>
      <c r="E55" s="1616"/>
      <c r="F55" s="1616"/>
      <c r="G55" s="1616"/>
      <c r="H55" s="1616"/>
      <c r="I55" s="1616"/>
      <c r="J55" s="1616"/>
      <c r="K55" s="1616"/>
      <c r="L55" s="1616"/>
      <c r="M55" s="1616"/>
      <c r="N55" s="1616"/>
      <c r="O55" s="1616"/>
      <c r="P55" s="1616"/>
      <c r="Q55" s="1616"/>
      <c r="R55" s="1616"/>
      <c r="S55" s="1616"/>
      <c r="T55" s="1616"/>
      <c r="U55" s="1616"/>
      <c r="V55" s="1616"/>
      <c r="W55" s="1616"/>
      <c r="X55" s="1456"/>
      <c r="Y55" s="1661"/>
      <c r="Z55" s="1661"/>
      <c r="AA55" s="1661"/>
      <c r="AB55" s="1435"/>
      <c r="AC55" s="1617"/>
      <c r="AD55" s="1617"/>
      <c r="AE55" s="1557"/>
      <c r="AF55" s="1618"/>
      <c r="AG55" s="1557"/>
      <c r="AH55" s="1557"/>
      <c r="AI55" s="1618"/>
      <c r="AJ55" s="1618"/>
      <c r="AK55" s="1557"/>
    </row>
    <row r="56" spans="1:40" s="1462" customFormat="1" ht="22.5" customHeight="1" x14ac:dyDescent="0.3">
      <c r="A56" s="1619"/>
      <c r="B56" s="1616"/>
      <c r="C56" s="1616"/>
      <c r="D56" s="1616"/>
      <c r="E56" s="1616"/>
      <c r="F56" s="1616"/>
      <c r="G56" s="1616"/>
      <c r="H56" s="1616"/>
      <c r="I56" s="1616"/>
      <c r="J56" s="1616"/>
      <c r="K56" s="1616"/>
      <c r="L56" s="1616"/>
      <c r="M56" s="1616"/>
      <c r="N56" s="1616"/>
      <c r="O56" s="1616"/>
      <c r="P56" s="1616"/>
      <c r="Q56" s="1616"/>
      <c r="R56" s="1616"/>
      <c r="S56" s="1616"/>
      <c r="T56" s="1616"/>
      <c r="U56" s="1616"/>
      <c r="V56" s="1616"/>
      <c r="W56" s="1616"/>
      <c r="X56" s="1456"/>
      <c r="Y56" s="1661"/>
      <c r="Z56" s="1661"/>
      <c r="AA56" s="1661"/>
      <c r="AB56" s="1435"/>
      <c r="AC56" s="1617"/>
      <c r="AD56" s="1617"/>
      <c r="AE56" s="1557"/>
      <c r="AF56" s="1618"/>
      <c r="AG56" s="1557"/>
      <c r="AH56" s="1557"/>
      <c r="AI56" s="1618"/>
      <c r="AJ56" s="1618"/>
      <c r="AK56" s="1557"/>
    </row>
    <row r="57" spans="1:40" s="1632" customFormat="1" ht="23.25" x14ac:dyDescent="0.35">
      <c r="A57" s="1620" t="s">
        <v>792</v>
      </c>
      <c r="B57" s="1621"/>
      <c r="C57" s="1621"/>
      <c r="D57" s="1621"/>
      <c r="E57" s="1622"/>
      <c r="F57" s="1622"/>
      <c r="G57" s="1622"/>
      <c r="H57" s="1623"/>
      <c r="I57" s="1624"/>
      <c r="J57" s="1625" t="s">
        <v>398</v>
      </c>
      <c r="K57" s="1626"/>
      <c r="L57" s="1625"/>
      <c r="M57" s="1625"/>
      <c r="N57" s="1624"/>
      <c r="O57" s="1624"/>
      <c r="P57" s="1624"/>
      <c r="Q57" s="1624"/>
      <c r="R57" s="1624"/>
      <c r="S57" s="1624"/>
      <c r="T57" s="1624"/>
      <c r="U57" s="1624"/>
      <c r="V57" s="1624"/>
      <c r="W57" s="1624"/>
      <c r="X57" s="1627"/>
      <c r="Y57" s="1669"/>
      <c r="Z57" s="1669"/>
      <c r="AA57" s="1669"/>
      <c r="AB57" s="1628"/>
      <c r="AC57" s="1629"/>
      <c r="AD57" s="1629"/>
      <c r="AE57" s="1630"/>
      <c r="AF57" s="1631"/>
      <c r="AG57" s="1630"/>
      <c r="AH57" s="1630"/>
      <c r="AI57" s="1631"/>
      <c r="AJ57" s="1631"/>
      <c r="AK57" s="1630"/>
    </row>
    <row r="58" spans="1:40" x14ac:dyDescent="0.3">
      <c r="A58" s="1633"/>
      <c r="B58" s="1634"/>
      <c r="C58" s="1634"/>
      <c r="D58" s="1634"/>
      <c r="E58" s="1635"/>
      <c r="F58" s="1635"/>
      <c r="G58" s="1635"/>
      <c r="H58" s="1636"/>
      <c r="I58" s="1637"/>
      <c r="J58" s="1637"/>
      <c r="K58" s="1637"/>
      <c r="L58" s="1638"/>
      <c r="M58" s="1638"/>
      <c r="N58" s="1638"/>
      <c r="O58" s="1639"/>
      <c r="P58" s="1639"/>
      <c r="Q58" s="1640"/>
      <c r="R58" s="1641"/>
      <c r="S58" s="1640"/>
      <c r="T58" s="1640"/>
      <c r="U58" s="1640"/>
      <c r="V58" s="1642"/>
      <c r="W58" s="1642"/>
    </row>
    <row r="59" spans="1:40" x14ac:dyDescent="0.3">
      <c r="A59" s="1644"/>
      <c r="B59" s="1645"/>
      <c r="C59" s="1645" t="s">
        <v>793</v>
      </c>
      <c r="D59" s="1645"/>
      <c r="E59" s="1646" t="s">
        <v>793</v>
      </c>
      <c r="F59" s="1646"/>
      <c r="G59" s="1646" t="s">
        <v>793</v>
      </c>
      <c r="I59" s="1648"/>
      <c r="J59" s="1648"/>
      <c r="K59" s="1648"/>
      <c r="L59" s="1648"/>
      <c r="M59" s="1648"/>
      <c r="N59" s="1648"/>
      <c r="O59" s="1648"/>
      <c r="P59" s="1648"/>
      <c r="Q59" s="1648"/>
      <c r="R59" s="1648"/>
      <c r="S59" s="1648"/>
      <c r="T59" s="1648"/>
      <c r="U59" s="1648"/>
      <c r="V59" s="1648"/>
      <c r="W59" s="1648"/>
    </row>
    <row r="60" spans="1:40" x14ac:dyDescent="0.3">
      <c r="A60" s="1644"/>
      <c r="B60" s="1645"/>
      <c r="C60" s="1645"/>
      <c r="D60" s="1645"/>
      <c r="E60" s="1646"/>
      <c r="F60" s="1646"/>
      <c r="G60" s="1646"/>
      <c r="I60" s="1648"/>
      <c r="J60" s="1648"/>
      <c r="K60" s="1648"/>
      <c r="L60" s="1648"/>
      <c r="M60" s="1648"/>
      <c r="N60" s="1648"/>
      <c r="O60" s="1648"/>
      <c r="P60" s="1648"/>
      <c r="Q60" s="1648"/>
      <c r="R60" s="1648"/>
      <c r="S60" s="1648"/>
      <c r="T60" s="1648"/>
      <c r="U60" s="1648"/>
      <c r="V60" s="1648"/>
      <c r="W60" s="1648"/>
    </row>
    <row r="61" spans="1:40" x14ac:dyDescent="0.3">
      <c r="A61" s="1644" t="s">
        <v>794</v>
      </c>
      <c r="B61" s="1649"/>
      <c r="C61" s="1649"/>
      <c r="D61" s="1649"/>
      <c r="E61" s="1650">
        <v>1455474</v>
      </c>
      <c r="F61" s="1650"/>
      <c r="G61" s="1650">
        <v>1455474</v>
      </c>
      <c r="I61" s="1648"/>
      <c r="J61" s="1648"/>
      <c r="K61" s="1648"/>
      <c r="L61" s="1648"/>
      <c r="M61" s="1648"/>
      <c r="N61" s="1648"/>
      <c r="O61" s="1648"/>
      <c r="P61" s="1648"/>
      <c r="Q61" s="1648"/>
      <c r="R61" s="1648"/>
      <c r="S61" s="1648"/>
      <c r="T61" s="1648"/>
      <c r="U61" s="1648"/>
      <c r="V61" s="1648"/>
      <c r="W61" s="1648"/>
    </row>
    <row r="62" spans="1:40" x14ac:dyDescent="0.3">
      <c r="A62" s="1644" t="s">
        <v>795</v>
      </c>
      <c r="B62" s="1643"/>
      <c r="C62" s="1643"/>
      <c r="D62" s="1643"/>
      <c r="E62" s="1650">
        <v>268127</v>
      </c>
      <c r="F62" s="1650"/>
      <c r="G62" s="1650">
        <v>268127</v>
      </c>
      <c r="I62" s="1648"/>
      <c r="J62" s="1648"/>
      <c r="K62" s="1648"/>
      <c r="L62" s="1648"/>
      <c r="M62" s="1648"/>
      <c r="N62" s="1648"/>
      <c r="O62" s="1648"/>
      <c r="P62" s="1648"/>
      <c r="Q62" s="1648"/>
      <c r="R62" s="1648"/>
      <c r="S62" s="1648"/>
      <c r="T62" s="1648"/>
      <c r="U62" s="1648"/>
      <c r="V62" s="1648"/>
      <c r="W62" s="1648"/>
      <c r="X62" s="526"/>
      <c r="Y62" s="1671"/>
      <c r="Z62" s="1671"/>
      <c r="AA62" s="1671"/>
      <c r="AB62" s="1651"/>
    </row>
    <row r="63" spans="1:40" x14ac:dyDescent="0.3">
      <c r="A63" s="1652" t="s">
        <v>428</v>
      </c>
      <c r="B63" s="1643"/>
      <c r="C63" s="1643"/>
      <c r="D63" s="1643"/>
      <c r="E63" s="1650">
        <v>16902220</v>
      </c>
      <c r="F63" s="1650"/>
      <c r="G63" s="1650">
        <v>16902220</v>
      </c>
      <c r="I63" s="1648"/>
      <c r="J63" s="1648"/>
      <c r="K63" s="1648"/>
      <c r="L63" s="1648"/>
      <c r="M63" s="1648"/>
      <c r="N63" s="1648"/>
      <c r="O63" s="1648"/>
      <c r="P63" s="1648"/>
      <c r="Q63" s="1648"/>
      <c r="R63" s="1648"/>
      <c r="S63" s="1648"/>
      <c r="T63" s="1648"/>
      <c r="U63" s="1648"/>
      <c r="V63" s="1648"/>
      <c r="W63" s="1648"/>
    </row>
    <row r="64" spans="1:40" x14ac:dyDescent="0.3">
      <c r="A64" s="1644" t="s">
        <v>536</v>
      </c>
      <c r="B64" s="1643"/>
      <c r="C64" s="1643"/>
      <c r="D64" s="1643"/>
      <c r="E64" s="1650">
        <v>18625821</v>
      </c>
      <c r="F64" s="1650"/>
      <c r="G64" s="1650">
        <v>18625821</v>
      </c>
    </row>
    <row r="65" spans="5:7" x14ac:dyDescent="0.3">
      <c r="E65" s="1655">
        <f>E53-E64</f>
        <v>-887468.8590618968</v>
      </c>
      <c r="F65" s="1655"/>
      <c r="G65" s="1655">
        <f>G53-G64</f>
        <v>-59286</v>
      </c>
    </row>
  </sheetData>
  <mergeCells count="49">
    <mergeCell ref="Y54:AA54"/>
    <mergeCell ref="Q53:Q54"/>
    <mergeCell ref="R53:R54"/>
    <mergeCell ref="T53:T54"/>
    <mergeCell ref="U53:U54"/>
    <mergeCell ref="V53:V54"/>
    <mergeCell ref="I54:P54"/>
    <mergeCell ref="O10:O11"/>
    <mergeCell ref="P10:P11"/>
    <mergeCell ref="A53:A54"/>
    <mergeCell ref="B53:B54"/>
    <mergeCell ref="C53:C54"/>
    <mergeCell ref="D53:D54"/>
    <mergeCell ref="E53:E54"/>
    <mergeCell ref="G53:G54"/>
    <mergeCell ref="H53:H54"/>
    <mergeCell ref="F8:F11"/>
    <mergeCell ref="G8:G11"/>
    <mergeCell ref="H8:H11"/>
    <mergeCell ref="I8:P9"/>
    <mergeCell ref="I10:K10"/>
    <mergeCell ref="L10:L11"/>
    <mergeCell ref="AK8:AK11"/>
    <mergeCell ref="S8:S11"/>
    <mergeCell ref="T8:T11"/>
    <mergeCell ref="U8:U11"/>
    <mergeCell ref="V8:V11"/>
    <mergeCell ref="W8:W11"/>
    <mergeCell ref="X8:X11"/>
    <mergeCell ref="AC8:AC11"/>
    <mergeCell ref="AE8:AE11"/>
    <mergeCell ref="AF8:AF11"/>
    <mergeCell ref="AI8:AI11"/>
    <mergeCell ref="AJ8:AJ11"/>
    <mergeCell ref="Y8:AA10"/>
    <mergeCell ref="M10:M11"/>
    <mergeCell ref="N10:N11"/>
    <mergeCell ref="O1:V1"/>
    <mergeCell ref="O2:V2"/>
    <mergeCell ref="O4:V4"/>
    <mergeCell ref="A5:V5"/>
    <mergeCell ref="A6:V6"/>
    <mergeCell ref="A8:A11"/>
    <mergeCell ref="B8:B11"/>
    <mergeCell ref="C8:C11"/>
    <mergeCell ref="D8:D11"/>
    <mergeCell ref="E8:E11"/>
    <mergeCell ref="Q8:Q11"/>
    <mergeCell ref="R8:R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view="pageBreakPreview" zoomScale="85" zoomScaleNormal="85" zoomScaleSheetLayoutView="85" workbookViewId="0">
      <selection activeCell="K21" sqref="K21"/>
    </sheetView>
  </sheetViews>
  <sheetFormatPr defaultColWidth="9.140625" defaultRowHeight="15.75" x14ac:dyDescent="0.2"/>
  <cols>
    <col min="1" max="1" width="4.140625" style="965" bestFit="1" customWidth="1"/>
    <col min="2" max="2" width="38.140625" style="229" customWidth="1"/>
    <col min="3" max="3" width="12" style="965" customWidth="1"/>
    <col min="4" max="4" width="9.28515625" style="965" bestFit="1" customWidth="1"/>
    <col min="5" max="5" width="9.85546875" style="965" customWidth="1"/>
    <col min="6" max="6" width="16.7109375" style="965" customWidth="1"/>
    <col min="7" max="7" width="6.7109375" style="965" customWidth="1"/>
    <col min="8" max="8" width="7.28515625" style="965" bestFit="1" customWidth="1"/>
    <col min="9" max="9" width="7.7109375" style="965" bestFit="1" customWidth="1"/>
    <col min="10" max="10" width="6.85546875" style="229" bestFit="1" customWidth="1"/>
    <col min="11" max="11" width="9.5703125" style="229" bestFit="1" customWidth="1"/>
    <col min="12" max="12" width="13.85546875" style="965" bestFit="1" customWidth="1"/>
    <col min="13" max="13" width="6.140625" style="965" bestFit="1" customWidth="1"/>
    <col min="14" max="14" width="8.42578125" style="965" customWidth="1"/>
    <col min="15" max="17" width="6.85546875" style="965" customWidth="1"/>
    <col min="18" max="18" width="12.140625" style="965" bestFit="1" customWidth="1"/>
    <col min="19" max="19" width="7.85546875" style="965" customWidth="1"/>
    <col min="20" max="20" width="13.85546875" style="965" customWidth="1"/>
    <col min="21" max="21" width="8" style="965" hidden="1" customWidth="1"/>
    <col min="22" max="22" width="13.85546875" style="965" hidden="1" customWidth="1"/>
    <col min="23" max="23" width="13.85546875" style="965" customWidth="1"/>
    <col min="24" max="16384" width="9.140625" style="229"/>
  </cols>
  <sheetData>
    <row r="1" spans="1:25" ht="22.5" x14ac:dyDescent="0.2">
      <c r="A1" s="2523" t="s">
        <v>567</v>
      </c>
      <c r="B1" s="2523"/>
      <c r="C1" s="2523"/>
      <c r="D1" s="2523"/>
      <c r="E1" s="2523"/>
      <c r="F1" s="2523"/>
      <c r="G1" s="2523"/>
      <c r="H1" s="2523"/>
      <c r="I1" s="2523"/>
      <c r="J1" s="2523"/>
      <c r="K1" s="2523"/>
      <c r="L1" s="2523"/>
      <c r="M1" s="2523"/>
      <c r="N1" s="2523"/>
      <c r="O1" s="2523"/>
      <c r="P1" s="2523"/>
      <c r="Q1" s="2523"/>
      <c r="R1" s="2523"/>
      <c r="S1" s="2523"/>
      <c r="T1" s="2523"/>
      <c r="U1" s="2523"/>
      <c r="V1" s="2523"/>
      <c r="W1" s="2523"/>
    </row>
    <row r="2" spans="1:25" ht="16.5" thickBot="1" x14ac:dyDescent="0.25"/>
    <row r="3" spans="1:25" ht="35.25" customHeight="1" x14ac:dyDescent="0.2">
      <c r="A3" s="2524" t="s">
        <v>271</v>
      </c>
      <c r="B3" s="2527" t="s">
        <v>152</v>
      </c>
      <c r="C3" s="2530" t="s">
        <v>564</v>
      </c>
      <c r="D3" s="2512" t="s">
        <v>563</v>
      </c>
      <c r="E3" s="2512" t="s">
        <v>558</v>
      </c>
      <c r="F3" s="2512" t="s">
        <v>559</v>
      </c>
      <c r="G3" s="2533" t="s">
        <v>275</v>
      </c>
      <c r="H3" s="2536" t="s">
        <v>277</v>
      </c>
      <c r="I3" s="2537"/>
      <c r="J3" s="2537"/>
      <c r="K3" s="2537"/>
      <c r="L3" s="2538"/>
      <c r="M3" s="2537" t="s">
        <v>550</v>
      </c>
      <c r="N3" s="2537"/>
      <c r="O3" s="2537"/>
      <c r="P3" s="2537"/>
      <c r="Q3" s="2537"/>
      <c r="R3" s="2537"/>
      <c r="S3" s="2539" t="s">
        <v>540</v>
      </c>
      <c r="T3" s="2538"/>
      <c r="U3" s="2540" t="s">
        <v>325</v>
      </c>
      <c r="V3" s="2541"/>
      <c r="W3" s="2542" t="s">
        <v>541</v>
      </c>
    </row>
    <row r="4" spans="1:25" x14ac:dyDescent="0.2">
      <c r="A4" s="2525"/>
      <c r="B4" s="2528"/>
      <c r="C4" s="2531"/>
      <c r="D4" s="2513"/>
      <c r="E4" s="2513"/>
      <c r="F4" s="2513"/>
      <c r="G4" s="2534"/>
      <c r="H4" s="2492" t="s">
        <v>273</v>
      </c>
      <c r="I4" s="2520" t="s">
        <v>278</v>
      </c>
      <c r="J4" s="2520" t="s">
        <v>272</v>
      </c>
      <c r="K4" s="2520" t="s">
        <v>279</v>
      </c>
      <c r="L4" s="2545" t="s">
        <v>274</v>
      </c>
      <c r="M4" s="2492" t="s">
        <v>278</v>
      </c>
      <c r="N4" s="2520" t="s">
        <v>272</v>
      </c>
      <c r="O4" s="2490" t="s">
        <v>557</v>
      </c>
      <c r="P4" s="2421" t="s">
        <v>21</v>
      </c>
      <c r="Q4" s="2547"/>
      <c r="R4" s="2490" t="s">
        <v>274</v>
      </c>
      <c r="S4" s="2492" t="s">
        <v>273</v>
      </c>
      <c r="T4" s="2545" t="s">
        <v>274</v>
      </c>
      <c r="U4" s="1033"/>
      <c r="V4" s="1032"/>
      <c r="W4" s="2543"/>
    </row>
    <row r="5" spans="1:25" ht="53.25" customHeight="1" thickBot="1" x14ac:dyDescent="0.25">
      <c r="A5" s="2526"/>
      <c r="B5" s="2529"/>
      <c r="C5" s="2532"/>
      <c r="D5" s="2514"/>
      <c r="E5" s="2514"/>
      <c r="F5" s="2514"/>
      <c r="G5" s="2535"/>
      <c r="H5" s="2493"/>
      <c r="I5" s="2521"/>
      <c r="J5" s="2521"/>
      <c r="K5" s="2521"/>
      <c r="L5" s="2546"/>
      <c r="M5" s="2493"/>
      <c r="N5" s="2521"/>
      <c r="O5" s="2491"/>
      <c r="P5" s="243" t="s">
        <v>560</v>
      </c>
      <c r="Q5" s="243" t="s">
        <v>561</v>
      </c>
      <c r="R5" s="2491"/>
      <c r="S5" s="2493"/>
      <c r="T5" s="2546"/>
      <c r="U5" s="240" t="s">
        <v>276</v>
      </c>
      <c r="V5" s="241" t="s">
        <v>274</v>
      </c>
      <c r="W5" s="2544"/>
    </row>
    <row r="6" spans="1:25" ht="32.25" thickBot="1" x14ac:dyDescent="0.25">
      <c r="A6" s="231">
        <v>1</v>
      </c>
      <c r="B6" s="232" t="s">
        <v>539</v>
      </c>
      <c r="C6" s="233"/>
      <c r="D6" s="1040" t="s">
        <v>562</v>
      </c>
      <c r="E6" s="970"/>
      <c r="F6" s="970"/>
      <c r="G6" s="234">
        <f>I6/(H6*1000)</f>
        <v>6.4871633237822355</v>
      </c>
      <c r="H6" s="235">
        <v>3.49</v>
      </c>
      <c r="I6" s="236">
        <v>22640.2</v>
      </c>
      <c r="J6" s="370">
        <f>4+(K6/(I6/1000)-100.4)/25.2</f>
        <v>4.7839632214814412</v>
      </c>
      <c r="K6" s="244">
        <v>2720.3530000000001</v>
      </c>
      <c r="L6" s="238">
        <f>657743.03+72486.55*1.0082</f>
        <v>730823.96971000009</v>
      </c>
      <c r="M6" s="236"/>
      <c r="N6" s="237"/>
      <c r="O6" s="244"/>
      <c r="P6" s="244"/>
      <c r="Q6" s="244"/>
      <c r="R6" s="1039"/>
      <c r="S6" s="396">
        <v>6.98</v>
      </c>
      <c r="T6" s="397">
        <v>295.64</v>
      </c>
      <c r="U6" s="242">
        <v>1</v>
      </c>
      <c r="V6" s="238">
        <v>3577.51</v>
      </c>
      <c r="W6" s="239">
        <f>L6+R6+T6+V6</f>
        <v>734697.11971000012</v>
      </c>
      <c r="Y6" s="811"/>
    </row>
    <row r="7" spans="1:25" ht="16.5" thickBot="1" x14ac:dyDescent="0.25">
      <c r="A7" s="2496"/>
      <c r="B7" s="2497"/>
      <c r="C7" s="2497"/>
      <c r="D7" s="2497"/>
      <c r="E7" s="2497"/>
      <c r="F7" s="2497"/>
      <c r="G7" s="2497"/>
      <c r="H7" s="2497"/>
      <c r="I7" s="2497"/>
      <c r="J7" s="2497"/>
      <c r="K7" s="2497"/>
      <c r="L7" s="2497"/>
      <c r="M7" s="2497"/>
      <c r="N7" s="2497"/>
      <c r="O7" s="2497"/>
      <c r="P7" s="2497"/>
      <c r="Q7" s="2497"/>
      <c r="R7" s="2497"/>
      <c r="S7" s="2497"/>
      <c r="T7" s="2497"/>
      <c r="U7" s="2517"/>
      <c r="V7" s="2517"/>
      <c r="W7" s="2498"/>
    </row>
    <row r="8" spans="1:25" x14ac:dyDescent="0.2">
      <c r="A8" s="2499">
        <v>1</v>
      </c>
      <c r="B8" s="2501" t="s">
        <v>554</v>
      </c>
      <c r="C8" s="2503">
        <f>ROUNDUP(W8*1.0138,0)</f>
        <v>244928</v>
      </c>
      <c r="D8" s="2505" t="s">
        <v>562</v>
      </c>
      <c r="E8" s="2507" t="s">
        <v>542</v>
      </c>
      <c r="F8" s="972" t="s">
        <v>546</v>
      </c>
      <c r="G8" s="971">
        <v>6.5</v>
      </c>
      <c r="H8" s="374">
        <v>0.2</v>
      </c>
      <c r="I8" s="375">
        <f>H8*G8*1000</f>
        <v>1300</v>
      </c>
      <c r="J8" s="376">
        <v>5</v>
      </c>
      <c r="K8" s="376">
        <f>I8/1000*(100.4+25.2*(J8-4))</f>
        <v>163.28000000000003</v>
      </c>
      <c r="L8" s="378">
        <f t="shared" ref="L8:L15" si="0">$L$6/$K$6*K8/(1.0082*1.0082)</f>
        <v>43154.602995536246</v>
      </c>
      <c r="M8" s="379">
        <f>H8*2*0.5*1000</f>
        <v>200</v>
      </c>
      <c r="N8" s="376">
        <v>6</v>
      </c>
      <c r="O8" s="376">
        <f>M8*N8/100*1.24</f>
        <v>14.879999999999999</v>
      </c>
      <c r="P8" s="1034">
        <f>O8*1.55*0.2/1.38</f>
        <v>3.3426086956521743</v>
      </c>
      <c r="Q8" s="1034">
        <f>O8*1.55*0.8/1.53</f>
        <v>12.059607843137254</v>
      </c>
      <c r="R8" s="1009">
        <f t="shared" ref="R8:R15" si="1">13.28/10*N8*M8*1.0082*1.0082</f>
        <v>1619.842193664</v>
      </c>
      <c r="S8" s="675"/>
      <c r="T8" s="978"/>
      <c r="U8" s="980"/>
      <c r="V8" s="981"/>
      <c r="W8" s="2509">
        <f>SUM(V8:V12)+SUM(T8:T12)+SUM(R8:R12)+SUM(L8:L12)</f>
        <v>241593.54348589556</v>
      </c>
    </row>
    <row r="9" spans="1:25" x14ac:dyDescent="0.2">
      <c r="A9" s="2500"/>
      <c r="B9" s="2502"/>
      <c r="C9" s="2504"/>
      <c r="D9" s="2506"/>
      <c r="E9" s="2508"/>
      <c r="F9" s="973" t="s">
        <v>543</v>
      </c>
      <c r="G9" s="974">
        <v>6</v>
      </c>
      <c r="H9" s="976">
        <f>0.612-0.2</f>
        <v>0.41199999999999998</v>
      </c>
      <c r="I9" s="555">
        <f>H9*G9*1000</f>
        <v>2472</v>
      </c>
      <c r="J9" s="786">
        <v>5</v>
      </c>
      <c r="K9" s="977">
        <f>I9/1000*(100.4+25.2*(J9-4))</f>
        <v>310.48320000000001</v>
      </c>
      <c r="L9" s="986">
        <f t="shared" si="0"/>
        <v>82060.137388435047</v>
      </c>
      <c r="M9" s="394">
        <f>H9*1000*2*0.5</f>
        <v>412</v>
      </c>
      <c r="N9" s="786">
        <v>6</v>
      </c>
      <c r="O9" s="382">
        <f>M9*N9/100*1.24</f>
        <v>30.652799999999999</v>
      </c>
      <c r="P9" s="383">
        <f>O9*1.55*0.2/1.38</f>
        <v>6.8857739130434794</v>
      </c>
      <c r="Q9" s="382">
        <f>O9*1.55*0.8/1.53</f>
        <v>24.842792156862746</v>
      </c>
      <c r="R9" s="1010">
        <f t="shared" si="1"/>
        <v>3336.8749189478399</v>
      </c>
      <c r="S9" s="975"/>
      <c r="T9" s="979"/>
      <c r="U9" s="982"/>
      <c r="V9" s="983"/>
      <c r="W9" s="2510"/>
    </row>
    <row r="10" spans="1:25" x14ac:dyDescent="0.2">
      <c r="A10" s="2500"/>
      <c r="B10" s="2502"/>
      <c r="C10" s="2504"/>
      <c r="D10" s="2506"/>
      <c r="E10" s="2508"/>
      <c r="F10" s="973" t="s">
        <v>544</v>
      </c>
      <c r="G10" s="974">
        <v>6</v>
      </c>
      <c r="H10" s="976">
        <f>0.947-0.81</f>
        <v>0.1369999999999999</v>
      </c>
      <c r="I10" s="555">
        <f>H10*G10*1000</f>
        <v>821.99999999999943</v>
      </c>
      <c r="J10" s="786">
        <v>5</v>
      </c>
      <c r="K10" s="977">
        <f t="shared" ref="K10:K15" si="2">I10/1000*(100.4+25.2*(J10-4))</f>
        <v>103.24319999999993</v>
      </c>
      <c r="L10" s="986">
        <f t="shared" si="0"/>
        <v>27286.98743256212</v>
      </c>
      <c r="M10" s="394">
        <f t="shared" ref="M10:M11" si="3">H10*1000*2*0.5</f>
        <v>136.99999999999989</v>
      </c>
      <c r="N10" s="786">
        <v>6</v>
      </c>
      <c r="O10" s="382">
        <f t="shared" ref="O10:O11" si="4">M10*N10/100*1.24</f>
        <v>10.192799999999991</v>
      </c>
      <c r="P10" s="383">
        <f t="shared" ref="P10:P15" si="5">O10*1.55*0.2/1.38</f>
        <v>2.2896869565217375</v>
      </c>
      <c r="Q10" s="382">
        <f t="shared" ref="Q10:Q15" si="6">O10*1.55*0.8/1.53</f>
        <v>8.2608313725490135</v>
      </c>
      <c r="R10" s="1010">
        <f t="shared" si="1"/>
        <v>1109.591902659839</v>
      </c>
      <c r="S10" s="975"/>
      <c r="T10" s="979"/>
      <c r="U10" s="982"/>
      <c r="V10" s="983"/>
      <c r="W10" s="2510"/>
    </row>
    <row r="11" spans="1:25" x14ac:dyDescent="0.2">
      <c r="A11" s="2500"/>
      <c r="B11" s="2502"/>
      <c r="C11" s="2504"/>
      <c r="D11" s="2506"/>
      <c r="E11" s="2508"/>
      <c r="F11" s="973" t="s">
        <v>545</v>
      </c>
      <c r="G11" s="974">
        <v>6</v>
      </c>
      <c r="H11" s="976">
        <f>1.65-1.263</f>
        <v>0.38700000000000001</v>
      </c>
      <c r="I11" s="555">
        <f>H11*G11*1000</f>
        <v>2322</v>
      </c>
      <c r="J11" s="786">
        <v>5</v>
      </c>
      <c r="K11" s="977">
        <f t="shared" si="2"/>
        <v>291.64320000000004</v>
      </c>
      <c r="L11" s="986">
        <f t="shared" si="0"/>
        <v>77080.760119719343</v>
      </c>
      <c r="M11" s="394">
        <f t="shared" si="3"/>
        <v>387</v>
      </c>
      <c r="N11" s="786">
        <v>6</v>
      </c>
      <c r="O11" s="382">
        <f t="shared" si="4"/>
        <v>28.7928</v>
      </c>
      <c r="P11" s="383">
        <f t="shared" si="5"/>
        <v>6.4679478260869585</v>
      </c>
      <c r="Q11" s="382">
        <f t="shared" si="6"/>
        <v>23.335341176470592</v>
      </c>
      <c r="R11" s="1010">
        <f t="shared" si="1"/>
        <v>3134.3946447398394</v>
      </c>
      <c r="S11" s="975"/>
      <c r="T11" s="979"/>
      <c r="U11" s="982"/>
      <c r="V11" s="983"/>
      <c r="W11" s="2510"/>
    </row>
    <row r="12" spans="1:25" ht="16.5" thickBot="1" x14ac:dyDescent="0.25">
      <c r="A12" s="2500"/>
      <c r="B12" s="2502"/>
      <c r="C12" s="2511"/>
      <c r="D12" s="2506"/>
      <c r="E12" s="2516"/>
      <c r="F12" s="993" t="s">
        <v>549</v>
      </c>
      <c r="G12" s="994">
        <v>3</v>
      </c>
      <c r="H12" s="968"/>
      <c r="I12" s="966">
        <f>12*G12+0.5*15*G12*2</f>
        <v>81</v>
      </c>
      <c r="J12" s="371">
        <v>5</v>
      </c>
      <c r="K12" s="372">
        <f t="shared" si="2"/>
        <v>10.1736</v>
      </c>
      <c r="L12" s="967">
        <f t="shared" si="0"/>
        <v>2688.8637251064888</v>
      </c>
      <c r="M12" s="381">
        <f>15*2*0.5</f>
        <v>15</v>
      </c>
      <c r="N12" s="380">
        <v>6</v>
      </c>
      <c r="O12" s="1035">
        <f>M12*N12/100*1.24</f>
        <v>1.1160000000000001</v>
      </c>
      <c r="P12" s="1036">
        <f t="shared" si="5"/>
        <v>0.2506956521739131</v>
      </c>
      <c r="Q12" s="1035">
        <f t="shared" si="6"/>
        <v>0.90447058823529425</v>
      </c>
      <c r="R12" s="1037">
        <f t="shared" si="1"/>
        <v>121.48816452479998</v>
      </c>
      <c r="S12" s="674"/>
      <c r="T12" s="996"/>
      <c r="U12" s="984"/>
      <c r="V12" s="985"/>
      <c r="W12" s="2522"/>
    </row>
    <row r="13" spans="1:25" x14ac:dyDescent="0.2">
      <c r="A13" s="2500"/>
      <c r="B13" s="2502"/>
      <c r="C13" s="2503">
        <f>ROUNDUP(W13*1.0138,0)</f>
        <v>234375</v>
      </c>
      <c r="D13" s="2506"/>
      <c r="E13" s="2508" t="s">
        <v>553</v>
      </c>
      <c r="F13" s="973" t="s">
        <v>547</v>
      </c>
      <c r="G13" s="974">
        <v>5.5</v>
      </c>
      <c r="H13" s="976">
        <f>2.328-1.65</f>
        <v>0.67799999999999994</v>
      </c>
      <c r="I13" s="375">
        <f>H13*G13*1000</f>
        <v>3728.9999999999995</v>
      </c>
      <c r="J13" s="786">
        <v>6</v>
      </c>
      <c r="K13" s="977">
        <f>I13/1000*(100.4+25.2*(J13-4))</f>
        <v>562.33320000000003</v>
      </c>
      <c r="L13" s="986">
        <f t="shared" si="0"/>
        <v>148623.62810637848</v>
      </c>
      <c r="M13" s="379">
        <f>H13*2*0.5*1000</f>
        <v>677.99999999999989</v>
      </c>
      <c r="N13" s="376">
        <v>8</v>
      </c>
      <c r="O13" s="376">
        <f t="shared" ref="O13:O15" si="7">M13*N13/100*1.24</f>
        <v>67.257599999999982</v>
      </c>
      <c r="P13" s="377">
        <f t="shared" si="5"/>
        <v>15.108591304347824</v>
      </c>
      <c r="Q13" s="376">
        <f t="shared" si="6"/>
        <v>54.509427450980382</v>
      </c>
      <c r="R13" s="1009">
        <f t="shared" si="1"/>
        <v>7321.6867153612775</v>
      </c>
      <c r="S13" s="975"/>
      <c r="T13" s="979"/>
      <c r="U13" s="991"/>
      <c r="V13" s="992"/>
      <c r="W13" s="2510">
        <f>SUM(V13:V15)+SUM(T13:T15)+SUM(R13:R15)+SUM(L13:L15)</f>
        <v>231184.14423904216</v>
      </c>
    </row>
    <row r="14" spans="1:25" x14ac:dyDescent="0.2">
      <c r="A14" s="2500"/>
      <c r="B14" s="2502"/>
      <c r="C14" s="2504"/>
      <c r="D14" s="2506"/>
      <c r="E14" s="2508"/>
      <c r="F14" s="973" t="s">
        <v>548</v>
      </c>
      <c r="G14" s="974">
        <v>4</v>
      </c>
      <c r="H14" s="976">
        <f>2.72-2.328</f>
        <v>0.39200000000000035</v>
      </c>
      <c r="I14" s="555">
        <f>H14*G14*1000</f>
        <v>1568.0000000000014</v>
      </c>
      <c r="J14" s="786">
        <v>6</v>
      </c>
      <c r="K14" s="977">
        <f t="shared" si="2"/>
        <v>236.45440000000022</v>
      </c>
      <c r="L14" s="986">
        <f t="shared" si="0"/>
        <v>62494.462019523104</v>
      </c>
      <c r="M14" s="394">
        <f t="shared" ref="M14:M15" si="8">H14*1000*2*0.5</f>
        <v>392.00000000000034</v>
      </c>
      <c r="N14" s="786">
        <v>8</v>
      </c>
      <c r="O14" s="382">
        <f t="shared" si="7"/>
        <v>38.886400000000037</v>
      </c>
      <c r="P14" s="383">
        <f t="shared" si="5"/>
        <v>8.7353507246376907</v>
      </c>
      <c r="Q14" s="382">
        <f t="shared" si="6"/>
        <v>31.515775163398725</v>
      </c>
      <c r="R14" s="1010">
        <f t="shared" si="1"/>
        <v>4233.1875994419224</v>
      </c>
      <c r="S14" s="975"/>
      <c r="T14" s="979"/>
      <c r="U14" s="982"/>
      <c r="V14" s="983"/>
      <c r="W14" s="2510"/>
    </row>
    <row r="15" spans="1:25" ht="16.5" thickBot="1" x14ac:dyDescent="0.25">
      <c r="A15" s="2518"/>
      <c r="B15" s="2519"/>
      <c r="C15" s="2511"/>
      <c r="D15" s="2515"/>
      <c r="E15" s="2516"/>
      <c r="F15" s="987" t="s">
        <v>552</v>
      </c>
      <c r="G15" s="988">
        <v>4</v>
      </c>
      <c r="H15" s="1007">
        <v>0.05</v>
      </c>
      <c r="I15" s="555">
        <f>H15*G15*1000</f>
        <v>200</v>
      </c>
      <c r="J15" s="995">
        <v>6</v>
      </c>
      <c r="K15" s="977">
        <f t="shared" si="2"/>
        <v>30.160000000000004</v>
      </c>
      <c r="L15" s="986">
        <f t="shared" si="0"/>
        <v>7971.2324004493694</v>
      </c>
      <c r="M15" s="373">
        <f t="shared" si="8"/>
        <v>50</v>
      </c>
      <c r="N15" s="995">
        <v>8</v>
      </c>
      <c r="O15" s="371">
        <f t="shared" si="7"/>
        <v>4.96</v>
      </c>
      <c r="P15" s="1038">
        <f t="shared" si="5"/>
        <v>1.1142028985507249</v>
      </c>
      <c r="Q15" s="995">
        <f t="shared" si="6"/>
        <v>4.0198692810457519</v>
      </c>
      <c r="R15" s="1011">
        <f t="shared" si="1"/>
        <v>539.94739788799984</v>
      </c>
      <c r="S15" s="989"/>
      <c r="T15" s="990"/>
      <c r="U15" s="984"/>
      <c r="V15" s="985"/>
      <c r="W15" s="2522"/>
    </row>
    <row r="16" spans="1:25" s="384" customFormat="1" ht="32.25" customHeight="1" thickBot="1" x14ac:dyDescent="0.25">
      <c r="A16" s="2494" t="s">
        <v>399</v>
      </c>
      <c r="B16" s="2495"/>
      <c r="C16" s="997">
        <f>C13+C8</f>
        <v>479303</v>
      </c>
      <c r="D16" s="998"/>
      <c r="E16" s="999"/>
      <c r="F16" s="999"/>
      <c r="G16" s="1000"/>
      <c r="H16" s="1002">
        <f>SUM(H8:H15)</f>
        <v>2.2560000000000002</v>
      </c>
      <c r="I16" s="1003">
        <f>SUM(I8:I15)</f>
        <v>12494</v>
      </c>
      <c r="J16" s="1004"/>
      <c r="K16" s="1005">
        <f>SUM(K8:K15)</f>
        <v>1707.7708000000002</v>
      </c>
      <c r="L16" s="1006">
        <f>SUM(L8:L15)</f>
        <v>451360.67418771016</v>
      </c>
      <c r="M16" s="1003">
        <f>SUM(M8:M15)</f>
        <v>2271.0000000000005</v>
      </c>
      <c r="N16" s="1004"/>
      <c r="O16" s="1004">
        <f>SUM(O8:O15)</f>
        <v>196.73840000000001</v>
      </c>
      <c r="P16" s="1004">
        <f t="shared" ref="P16:Q16" si="9">SUM(P8:P15)</f>
        <v>44.1948579710145</v>
      </c>
      <c r="Q16" s="1004">
        <f t="shared" si="9"/>
        <v>159.44811503267974</v>
      </c>
      <c r="R16" s="1006">
        <f>SUM(R8:R15)</f>
        <v>21417.013537227522</v>
      </c>
      <c r="S16" s="1002">
        <f>SUM(S8:S15)</f>
        <v>0</v>
      </c>
      <c r="T16" s="1006">
        <f>SUM(T8:T15)</f>
        <v>0</v>
      </c>
      <c r="U16" s="1008"/>
      <c r="V16" s="1006">
        <f>SUM(V8:V15)</f>
        <v>0</v>
      </c>
      <c r="W16" s="1001">
        <f>SUM(W8:W15)</f>
        <v>472777.68772493768</v>
      </c>
    </row>
    <row r="17" spans="1:24" ht="16.5" thickBot="1" x14ac:dyDescent="0.25">
      <c r="A17" s="2496">
        <v>266987.31</v>
      </c>
      <c r="B17" s="2497"/>
      <c r="C17" s="2497"/>
      <c r="D17" s="2497"/>
      <c r="E17" s="2497"/>
      <c r="F17" s="2497"/>
      <c r="G17" s="2497"/>
      <c r="H17" s="2497"/>
      <c r="I17" s="2497"/>
      <c r="J17" s="2497"/>
      <c r="K17" s="2497"/>
      <c r="L17" s="2497"/>
      <c r="M17" s="2497"/>
      <c r="N17" s="2497"/>
      <c r="O17" s="2497"/>
      <c r="P17" s="2497"/>
      <c r="Q17" s="2497"/>
      <c r="R17" s="2497"/>
      <c r="S17" s="2497"/>
      <c r="T17" s="2497"/>
      <c r="U17" s="2497"/>
      <c r="V17" s="2497"/>
      <c r="W17" s="2498"/>
    </row>
    <row r="18" spans="1:24" x14ac:dyDescent="0.2">
      <c r="A18" s="2499">
        <v>2</v>
      </c>
      <c r="B18" s="2501" t="s">
        <v>568</v>
      </c>
      <c r="C18" s="2503">
        <f>ROUNDUP(W18*1.0138,0)</f>
        <v>535924</v>
      </c>
      <c r="D18" s="2505" t="s">
        <v>562</v>
      </c>
      <c r="E18" s="2507" t="s">
        <v>542</v>
      </c>
      <c r="F18" s="1021" t="s">
        <v>555</v>
      </c>
      <c r="G18" s="1022">
        <v>6</v>
      </c>
      <c r="H18" s="1023">
        <v>1.7250000000000001</v>
      </c>
      <c r="I18" s="1024">
        <f>H18*G18*1000</f>
        <v>10350.000000000002</v>
      </c>
      <c r="J18" s="1017">
        <v>5</v>
      </c>
      <c r="K18" s="1017">
        <f>I18/1000*(100.4+25.2*(J18-4))</f>
        <v>1299.9600000000003</v>
      </c>
      <c r="L18" s="1009">
        <f>$L$6/$K$6*K18</f>
        <v>349234.79697826417</v>
      </c>
      <c r="M18" s="1016"/>
      <c r="N18" s="1017"/>
      <c r="O18" s="1017"/>
      <c r="P18" s="1031"/>
      <c r="Q18" s="1031"/>
      <c r="R18" s="1009">
        <f>13.28/10*N18*M18*1.0082*1.0082</f>
        <v>0</v>
      </c>
      <c r="S18" s="374">
        <f>H18*2</f>
        <v>3.45</v>
      </c>
      <c r="T18" s="1014">
        <f>T6/S6*S18</f>
        <v>146.12578796561604</v>
      </c>
      <c r="U18" s="980"/>
      <c r="V18" s="981"/>
      <c r="W18" s="2509">
        <f>SUM(V18:V19)+SUM(T18:T19)+SUM(R18:R19)+SUM(L18:L19)</f>
        <v>528628.52662020852</v>
      </c>
    </row>
    <row r="19" spans="1:24" x14ac:dyDescent="0.2">
      <c r="A19" s="2500"/>
      <c r="B19" s="2502"/>
      <c r="C19" s="2504"/>
      <c r="D19" s="2506"/>
      <c r="E19" s="2508"/>
      <c r="F19" s="1025" t="s">
        <v>556</v>
      </c>
      <c r="G19" s="1026">
        <v>6</v>
      </c>
      <c r="H19" s="1027">
        <f>2.71-1.825</f>
        <v>0.88500000000000001</v>
      </c>
      <c r="I19" s="1028">
        <f>H19*G19*1000</f>
        <v>5310.0000000000009</v>
      </c>
      <c r="J19" s="1019">
        <v>5</v>
      </c>
      <c r="K19" s="1029">
        <f>I19/1000*(100.4+25.2*(J19-4))</f>
        <v>666.93600000000015</v>
      </c>
      <c r="L19" s="1010">
        <f>$L$6/$K$6*K19</f>
        <v>179172.6349714573</v>
      </c>
      <c r="M19" s="1018"/>
      <c r="N19" s="1019"/>
      <c r="O19" s="1020"/>
      <c r="P19" s="1029"/>
      <c r="Q19" s="1029"/>
      <c r="R19" s="1010">
        <f>13.28/10*N19*M19*1.0082*1.0082</f>
        <v>0</v>
      </c>
      <c r="S19" s="976">
        <f>H19*2</f>
        <v>1.77</v>
      </c>
      <c r="T19" s="1015">
        <f>T6/S6*S19</f>
        <v>74.968882521489959</v>
      </c>
      <c r="U19" s="982"/>
      <c r="V19" s="983"/>
      <c r="W19" s="2510"/>
    </row>
    <row r="20" spans="1:24" x14ac:dyDescent="0.2">
      <c r="A20" s="1048"/>
      <c r="B20" s="1049"/>
      <c r="C20" s="1054">
        <v>266987.31</v>
      </c>
      <c r="D20" s="1043"/>
      <c r="E20" s="1050"/>
      <c r="F20" s="1051"/>
      <c r="G20" s="1055">
        <v>6</v>
      </c>
      <c r="H20" s="1056">
        <f>1.35</f>
        <v>1.35</v>
      </c>
      <c r="I20" s="1057">
        <f>H20*G20*1000</f>
        <v>8100.0000000000018</v>
      </c>
      <c r="J20" s="1058">
        <v>4.8</v>
      </c>
      <c r="K20" s="1059">
        <f>I20/1000*(100.4+25.2*(J20-4))</f>
        <v>976.53600000000017</v>
      </c>
      <c r="L20" s="1060">
        <f>$L$6/$K$6*K20</f>
        <v>262346.80428779824</v>
      </c>
      <c r="M20" s="1061"/>
      <c r="N20" s="1058"/>
      <c r="O20" s="1058"/>
      <c r="P20" s="1062"/>
      <c r="Q20" s="1062"/>
      <c r="R20" s="1063"/>
      <c r="S20" s="1064"/>
      <c r="T20" s="1065"/>
      <c r="U20" s="1052"/>
      <c r="V20" s="1053"/>
      <c r="W20" s="1066">
        <f>C20/1.0138</f>
        <v>263353.03807457088</v>
      </c>
    </row>
    <row r="21" spans="1:24" ht="16.5" thickBot="1" x14ac:dyDescent="0.25">
      <c r="A21" s="1048"/>
      <c r="B21" s="1049"/>
      <c r="C21" s="1054"/>
      <c r="D21" s="1105"/>
      <c r="E21" s="1050"/>
      <c r="F21" s="1051"/>
      <c r="G21" s="1055">
        <v>6</v>
      </c>
      <c r="H21" s="1056"/>
      <c r="I21" s="1106">
        <v>1000</v>
      </c>
      <c r="J21" s="1058">
        <v>6</v>
      </c>
      <c r="K21" s="1059">
        <f>I21/1000*(100.4+25.2*(J21-4))</f>
        <v>150.80000000000001</v>
      </c>
      <c r="L21" s="1060">
        <f>$L$6/$K$6*K21</f>
        <v>40512.482987416719</v>
      </c>
      <c r="M21" s="1061"/>
      <c r="N21" s="1058"/>
      <c r="O21" s="1058"/>
      <c r="P21" s="1062"/>
      <c r="Q21" s="1062"/>
      <c r="R21" s="1063"/>
      <c r="S21" s="1064"/>
      <c r="T21" s="1065"/>
      <c r="U21" s="1052"/>
      <c r="V21" s="1053"/>
      <c r="W21" s="1066"/>
    </row>
    <row r="22" spans="1:24" s="384" customFormat="1" ht="32.25" customHeight="1" thickBot="1" x14ac:dyDescent="0.25">
      <c r="A22" s="2494" t="s">
        <v>399</v>
      </c>
      <c r="B22" s="2495"/>
      <c r="C22" s="997">
        <f>C18</f>
        <v>535924</v>
      </c>
      <c r="D22" s="998"/>
      <c r="E22" s="999"/>
      <c r="F22" s="999"/>
      <c r="G22" s="1000"/>
      <c r="H22" s="1002">
        <f>SUM(H18:H19)</f>
        <v>2.6100000000000003</v>
      </c>
      <c r="I22" s="1003">
        <f>SUM(I18:I19)</f>
        <v>15660.000000000004</v>
      </c>
      <c r="J22" s="1004"/>
      <c r="K22" s="1005">
        <f>SUM(K18:K19)</f>
        <v>1966.8960000000004</v>
      </c>
      <c r="L22" s="1006">
        <f>SUM(L18:L19)</f>
        <v>528407.43194972142</v>
      </c>
      <c r="M22" s="1003">
        <f>SUM(M18:M19)</f>
        <v>0</v>
      </c>
      <c r="N22" s="1004"/>
      <c r="O22" s="1004">
        <f>SUM(O18:O19)</f>
        <v>0</v>
      </c>
      <c r="P22" s="1004">
        <f t="shared" ref="P22:Q22" si="10">SUM(P18:P19)</f>
        <v>0</v>
      </c>
      <c r="Q22" s="1004">
        <f t="shared" si="10"/>
        <v>0</v>
      </c>
      <c r="R22" s="1006">
        <f>SUM(R18:R19)</f>
        <v>0</v>
      </c>
      <c r="S22" s="1002">
        <f>SUM(S18:S19)</f>
        <v>5.2200000000000006</v>
      </c>
      <c r="T22" s="1006">
        <f>SUM(T18:T19)</f>
        <v>221.09467048710599</v>
      </c>
      <c r="U22" s="1008"/>
      <c r="V22" s="1006">
        <f>SUM(V18:V19)</f>
        <v>0</v>
      </c>
      <c r="W22" s="1001">
        <f>SUM(W18:W19)</f>
        <v>528628.52662020852</v>
      </c>
    </row>
    <row r="23" spans="1:24" ht="16.5" thickBot="1" x14ac:dyDescent="0.25">
      <c r="A23" s="1012"/>
      <c r="B23" s="1013"/>
      <c r="C23" s="1013"/>
      <c r="D23" s="1013"/>
      <c r="E23" s="1013"/>
      <c r="F23" s="1013"/>
      <c r="G23" s="1013"/>
      <c r="H23" s="1013"/>
      <c r="I23" s="1013"/>
      <c r="J23" s="1013"/>
      <c r="K23" s="1013"/>
      <c r="L23" s="1013"/>
      <c r="M23" s="1013"/>
      <c r="N23" s="1013"/>
      <c r="O23" s="1013"/>
      <c r="P23" s="1013"/>
      <c r="Q23" s="1013"/>
      <c r="R23" s="1013"/>
      <c r="S23" s="1013"/>
      <c r="T23" s="1013"/>
      <c r="U23" s="1013"/>
      <c r="V23" s="1013"/>
      <c r="W23" s="969"/>
    </row>
    <row r="24" spans="1:24" x14ac:dyDescent="0.2">
      <c r="A24" s="2499">
        <v>3</v>
      </c>
      <c r="B24" s="2501" t="s">
        <v>565</v>
      </c>
      <c r="C24" s="2503">
        <f>ROUNDUP(W24*1.0138,0)</f>
        <v>145025</v>
      </c>
      <c r="D24" s="2505" t="s">
        <v>562</v>
      </c>
      <c r="E24" s="2507" t="s">
        <v>542</v>
      </c>
      <c r="F24" s="1021" t="s">
        <v>566</v>
      </c>
      <c r="G24" s="1022">
        <v>6</v>
      </c>
      <c r="H24" s="1023">
        <f>11.834-11.049</f>
        <v>0.78500000000000014</v>
      </c>
      <c r="I24" s="1024">
        <f>H24*G24*1000</f>
        <v>4710.0000000000009</v>
      </c>
      <c r="J24" s="1017">
        <v>4.5</v>
      </c>
      <c r="K24" s="1017">
        <f>I24/1000*(100.4+25.2*(J24-4))</f>
        <v>532.23000000000013</v>
      </c>
      <c r="L24" s="1009">
        <f>$L$6/$K$6*K24</f>
        <v>142983.81180631832</v>
      </c>
      <c r="M24" s="1016"/>
      <c r="N24" s="1017"/>
      <c r="O24" s="1017"/>
      <c r="P24" s="1034"/>
      <c r="Q24" s="1034"/>
      <c r="R24" s="1009">
        <f>13.28/10*N24*M24*1.0082*1.0082</f>
        <v>0</v>
      </c>
      <c r="S24" s="374">
        <f>H24*2</f>
        <v>1.5700000000000003</v>
      </c>
      <c r="T24" s="1014">
        <f>T6/S6*S24</f>
        <v>66.4978223495702</v>
      </c>
      <c r="U24" s="980"/>
      <c r="V24" s="981"/>
      <c r="W24" s="2509">
        <f>SUM(V24:V27)+SUM(T24:T27)+SUM(R24:R27)+SUM(L24:L27)</f>
        <v>143050.30962866789</v>
      </c>
      <c r="X24" s="229" t="s">
        <v>569</v>
      </c>
    </row>
    <row r="25" spans="1:24" ht="16.5" thickBot="1" x14ac:dyDescent="0.25">
      <c r="A25" s="2500"/>
      <c r="B25" s="2502"/>
      <c r="C25" s="2504"/>
      <c r="D25" s="2506"/>
      <c r="E25" s="2508"/>
      <c r="F25" s="1025"/>
      <c r="G25" s="1026"/>
      <c r="H25" s="1027"/>
      <c r="I25" s="1028"/>
      <c r="J25" s="1019"/>
      <c r="K25" s="1029"/>
      <c r="L25" s="1010">
        <f>$L$6/$K$6*K25</f>
        <v>0</v>
      </c>
      <c r="M25" s="1018"/>
      <c r="N25" s="1019"/>
      <c r="O25" s="1020"/>
      <c r="P25" s="383"/>
      <c r="Q25" s="382"/>
      <c r="R25" s="1010">
        <f>13.28/10*N25*M25*1.0082*1.0082</f>
        <v>0</v>
      </c>
      <c r="S25" s="976"/>
      <c r="T25" s="1015"/>
      <c r="U25" s="982"/>
      <c r="V25" s="983"/>
      <c r="W25" s="2510"/>
    </row>
    <row r="26" spans="1:24" hidden="1" x14ac:dyDescent="0.2">
      <c r="A26" s="2500"/>
      <c r="B26" s="2502"/>
      <c r="C26" s="2504"/>
      <c r="D26" s="2506"/>
      <c r="E26" s="2508"/>
      <c r="F26" s="1025"/>
      <c r="G26" s="1026"/>
      <c r="H26" s="1027"/>
      <c r="I26" s="1028"/>
      <c r="J26" s="1019"/>
      <c r="K26" s="1029"/>
      <c r="L26" s="1010">
        <f>$L$6/$K$6*K26</f>
        <v>0</v>
      </c>
      <c r="M26" s="1018"/>
      <c r="N26" s="1019"/>
      <c r="O26" s="1020"/>
      <c r="P26" s="383"/>
      <c r="Q26" s="382"/>
      <c r="R26" s="1010">
        <f>13.28/10*N26*M26</f>
        <v>0</v>
      </c>
      <c r="S26" s="976"/>
      <c r="T26" s="1015"/>
      <c r="U26" s="982"/>
      <c r="V26" s="983"/>
      <c r="W26" s="2510"/>
    </row>
    <row r="27" spans="1:24" ht="16.5" hidden="1" thickBot="1" x14ac:dyDescent="0.25">
      <c r="A27" s="2500"/>
      <c r="B27" s="2502"/>
      <c r="C27" s="2504"/>
      <c r="D27" s="2506"/>
      <c r="E27" s="2508"/>
      <c r="F27" s="1025"/>
      <c r="G27" s="1026"/>
      <c r="H27" s="1027"/>
      <c r="I27" s="1028"/>
      <c r="J27" s="1019"/>
      <c r="K27" s="1029"/>
      <c r="L27" s="1010">
        <f>$L$6/$K$6*K27</f>
        <v>0</v>
      </c>
      <c r="M27" s="394"/>
      <c r="N27" s="1019"/>
      <c r="O27" s="382"/>
      <c r="P27" s="383"/>
      <c r="Q27" s="382"/>
      <c r="R27" s="1010">
        <f>13.28/10*N27*M27</f>
        <v>0</v>
      </c>
      <c r="S27" s="976"/>
      <c r="T27" s="1015"/>
      <c r="U27" s="982"/>
      <c r="V27" s="983"/>
      <c r="W27" s="2510"/>
    </row>
    <row r="28" spans="1:24" s="384" customFormat="1" ht="32.25" customHeight="1" thickBot="1" x14ac:dyDescent="0.25">
      <c r="A28" s="2494" t="s">
        <v>399</v>
      </c>
      <c r="B28" s="2495"/>
      <c r="C28" s="997">
        <f>C24</f>
        <v>145025</v>
      </c>
      <c r="D28" s="998"/>
      <c r="E28" s="999"/>
      <c r="F28" s="999"/>
      <c r="G28" s="1000"/>
      <c r="H28" s="1002">
        <f>SUM(H24:H27)</f>
        <v>0.78500000000000014</v>
      </c>
      <c r="I28" s="1003">
        <f>SUM(I24:I27)</f>
        <v>4710.0000000000009</v>
      </c>
      <c r="J28" s="1004"/>
      <c r="K28" s="1005">
        <f>SUM(K24:K27)</f>
        <v>532.23000000000013</v>
      </c>
      <c r="L28" s="1006">
        <f>SUM(L24:L27)</f>
        <v>142983.81180631832</v>
      </c>
      <c r="M28" s="1003">
        <f>SUM(M24:M27)</f>
        <v>0</v>
      </c>
      <c r="N28" s="1004"/>
      <c r="O28" s="1004">
        <f t="shared" ref="O28:T28" si="11">SUM(O24:O27)</f>
        <v>0</v>
      </c>
      <c r="P28" s="1004">
        <f t="shared" si="11"/>
        <v>0</v>
      </c>
      <c r="Q28" s="1004">
        <f t="shared" si="11"/>
        <v>0</v>
      </c>
      <c r="R28" s="1006">
        <f t="shared" si="11"/>
        <v>0</v>
      </c>
      <c r="S28" s="1002">
        <f t="shared" si="11"/>
        <v>1.5700000000000003</v>
      </c>
      <c r="T28" s="1006">
        <f t="shared" si="11"/>
        <v>66.4978223495702</v>
      </c>
      <c r="U28" s="1008"/>
      <c r="V28" s="1006">
        <f>SUM(V24:V27)</f>
        <v>0</v>
      </c>
      <c r="W28" s="1001">
        <f>SUM(W24:W27)</f>
        <v>143050.30962866789</v>
      </c>
    </row>
    <row r="29" spans="1:24" ht="16.5" thickBot="1" x14ac:dyDescent="0.25">
      <c r="A29" s="2496"/>
      <c r="B29" s="2497"/>
      <c r="C29" s="2497"/>
      <c r="D29" s="2497"/>
      <c r="E29" s="2497"/>
      <c r="F29" s="2497"/>
      <c r="G29" s="2497"/>
      <c r="H29" s="2497"/>
      <c r="I29" s="2497"/>
      <c r="J29" s="2497"/>
      <c r="K29" s="2497"/>
      <c r="L29" s="2497"/>
      <c r="M29" s="2497"/>
      <c r="N29" s="2497"/>
      <c r="O29" s="2497"/>
      <c r="P29" s="2497"/>
      <c r="Q29" s="2497"/>
      <c r="R29" s="2497"/>
      <c r="S29" s="2497"/>
      <c r="T29" s="2497"/>
      <c r="U29" s="2497"/>
      <c r="V29" s="2497"/>
      <c r="W29" s="2498"/>
    </row>
    <row r="30" spans="1:24" s="384" customFormat="1" ht="45" customHeight="1" thickBot="1" x14ac:dyDescent="0.25">
      <c r="A30" s="2494" t="s">
        <v>551</v>
      </c>
      <c r="B30" s="2495"/>
      <c r="C30" s="997">
        <f>C28+C16+C22</f>
        <v>1160252</v>
      </c>
      <c r="D30" s="998"/>
      <c r="E30" s="999"/>
      <c r="F30" s="999"/>
      <c r="G30" s="1000"/>
      <c r="H30" s="1002">
        <f>H28+H16+H22</f>
        <v>5.6510000000000007</v>
      </c>
      <c r="I30" s="1003">
        <f>I28+I16+I22</f>
        <v>32864</v>
      </c>
      <c r="J30" s="1004"/>
      <c r="K30" s="1005">
        <f>K28+K16+K22</f>
        <v>4206.8968000000004</v>
      </c>
      <c r="L30" s="1006">
        <f>L28+L16+L22</f>
        <v>1122751.91794375</v>
      </c>
      <c r="M30" s="1003">
        <f>M28+M16+M22</f>
        <v>2271.0000000000005</v>
      </c>
      <c r="N30" s="1004"/>
      <c r="O30" s="1004">
        <f t="shared" ref="O30:T30" si="12">O28+O16+O22</f>
        <v>196.73840000000001</v>
      </c>
      <c r="P30" s="1004">
        <f t="shared" si="12"/>
        <v>44.1948579710145</v>
      </c>
      <c r="Q30" s="1004">
        <f t="shared" si="12"/>
        <v>159.44811503267974</v>
      </c>
      <c r="R30" s="1006">
        <f t="shared" si="12"/>
        <v>21417.013537227522</v>
      </c>
      <c r="S30" s="1002">
        <f t="shared" si="12"/>
        <v>6.7900000000000009</v>
      </c>
      <c r="T30" s="1006">
        <f t="shared" si="12"/>
        <v>287.59249283667617</v>
      </c>
      <c r="U30" s="1008"/>
      <c r="V30" s="1006">
        <f>V28+V16</f>
        <v>0</v>
      </c>
      <c r="W30" s="1001">
        <f>W28+W16+W22</f>
        <v>1144456.5239738142</v>
      </c>
    </row>
    <row r="31" spans="1:24" x14ac:dyDescent="0.2">
      <c r="W31" s="1030"/>
    </row>
  </sheetData>
  <mergeCells count="53">
    <mergeCell ref="A1:W1"/>
    <mergeCell ref="A3:A5"/>
    <mergeCell ref="B3:B5"/>
    <mergeCell ref="C3:C5"/>
    <mergeCell ref="G3:G5"/>
    <mergeCell ref="H3:L3"/>
    <mergeCell ref="M3:R3"/>
    <mergeCell ref="S3:T3"/>
    <mergeCell ref="U3:V3"/>
    <mergeCell ref="W3:W5"/>
    <mergeCell ref="J4:J5"/>
    <mergeCell ref="T4:T5"/>
    <mergeCell ref="P4:Q4"/>
    <mergeCell ref="L4:L5"/>
    <mergeCell ref="M4:M5"/>
    <mergeCell ref="N4:N5"/>
    <mergeCell ref="A16:B16"/>
    <mergeCell ref="A24:A27"/>
    <mergeCell ref="B24:B27"/>
    <mergeCell ref="C24:C27"/>
    <mergeCell ref="D24:D27"/>
    <mergeCell ref="C8:C12"/>
    <mergeCell ref="C13:C15"/>
    <mergeCell ref="D3:D5"/>
    <mergeCell ref="D8:D15"/>
    <mergeCell ref="E8:E12"/>
    <mergeCell ref="E13:E15"/>
    <mergeCell ref="A7:W7"/>
    <mergeCell ref="A8:A15"/>
    <mergeCell ref="B8:B15"/>
    <mergeCell ref="K4:K5"/>
    <mergeCell ref="W8:W12"/>
    <mergeCell ref="W13:W15"/>
    <mergeCell ref="F3:F5"/>
    <mergeCell ref="E3:E5"/>
    <mergeCell ref="H4:H5"/>
    <mergeCell ref="I4:I5"/>
    <mergeCell ref="O4:O5"/>
    <mergeCell ref="R4:R5"/>
    <mergeCell ref="S4:S5"/>
    <mergeCell ref="A30:B30"/>
    <mergeCell ref="A17:W17"/>
    <mergeCell ref="A29:W29"/>
    <mergeCell ref="A18:A19"/>
    <mergeCell ref="B18:B19"/>
    <mergeCell ref="C18:C19"/>
    <mergeCell ref="D18:D19"/>
    <mergeCell ref="E18:E19"/>
    <mergeCell ref="W18:W19"/>
    <mergeCell ref="A22:B22"/>
    <mergeCell ref="E24:E27"/>
    <mergeCell ref="W24:W27"/>
    <mergeCell ref="A28:B28"/>
  </mergeCells>
  <pageMargins left="0.31496062992125984" right="0.23622047244094491" top="0.47244094488188981" bottom="0.31496062992125984" header="0.31496062992125984" footer="0.31496062992125984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6"/>
  <sheetViews>
    <sheetView zoomScale="70" zoomScaleNormal="70" workbookViewId="0">
      <selection activeCell="C5" sqref="C5"/>
    </sheetView>
  </sheetViews>
  <sheetFormatPr defaultRowHeight="18.75" x14ac:dyDescent="0.3"/>
  <cols>
    <col min="1" max="1" width="21.140625" style="254" customWidth="1"/>
    <col min="2" max="2" width="16.140625" style="1328" customWidth="1"/>
    <col min="3" max="3" width="16.140625" style="253" customWidth="1"/>
    <col min="4" max="4" width="10.85546875" style="1397" customWidth="1"/>
    <col min="5" max="6" width="9.140625" style="254" customWidth="1"/>
    <col min="7" max="9" width="9.140625" style="1375" customWidth="1"/>
    <col min="10" max="10" width="9.140625" style="254" customWidth="1"/>
    <col min="11" max="16" width="9.140625" style="1375" customWidth="1"/>
    <col min="17" max="17" width="14.85546875" style="253" customWidth="1"/>
    <col min="18" max="18" width="9" style="253" customWidth="1"/>
    <col min="19" max="19" width="10.140625" style="253" hidden="1" customWidth="1"/>
    <col min="20" max="31" width="8" style="253" hidden="1" customWidth="1"/>
    <col min="32" max="32" width="16.5703125" style="253" customWidth="1"/>
    <col min="33" max="33" width="10.42578125" style="285" customWidth="1"/>
    <col min="34" max="34" width="16" style="253" customWidth="1"/>
    <col min="35" max="35" width="11.42578125" style="261" customWidth="1"/>
    <col min="36" max="36" width="14" style="253" customWidth="1"/>
    <col min="37" max="270" width="9.140625" style="253"/>
    <col min="271" max="271" width="21.140625" style="253" customWidth="1"/>
    <col min="272" max="272" width="17.7109375" style="253" customWidth="1"/>
    <col min="273" max="273" width="10.85546875" style="253" customWidth="1"/>
    <col min="274" max="285" width="0" style="253" hidden="1" customWidth="1"/>
    <col min="286" max="286" width="16" style="253" customWidth="1"/>
    <col min="287" max="287" width="9" style="253" customWidth="1"/>
    <col min="288" max="288" width="16.5703125" style="253" customWidth="1"/>
    <col min="289" max="289" width="10.42578125" style="253" customWidth="1"/>
    <col min="290" max="290" width="16" style="253" customWidth="1"/>
    <col min="291" max="291" width="11.42578125" style="253" customWidth="1"/>
    <col min="292" max="292" width="14" style="253" customWidth="1"/>
    <col min="293" max="526" width="9.140625" style="253"/>
    <col min="527" max="527" width="21.140625" style="253" customWidth="1"/>
    <col min="528" max="528" width="17.7109375" style="253" customWidth="1"/>
    <col min="529" max="529" width="10.85546875" style="253" customWidth="1"/>
    <col min="530" max="541" width="0" style="253" hidden="1" customWidth="1"/>
    <col min="542" max="542" width="16" style="253" customWidth="1"/>
    <col min="543" max="543" width="9" style="253" customWidth="1"/>
    <col min="544" max="544" width="16.5703125" style="253" customWidth="1"/>
    <col min="545" max="545" width="10.42578125" style="253" customWidth="1"/>
    <col min="546" max="546" width="16" style="253" customWidth="1"/>
    <col min="547" max="547" width="11.42578125" style="253" customWidth="1"/>
    <col min="548" max="548" width="14" style="253" customWidth="1"/>
    <col min="549" max="782" width="9.140625" style="253"/>
    <col min="783" max="783" width="21.140625" style="253" customWidth="1"/>
    <col min="784" max="784" width="17.7109375" style="253" customWidth="1"/>
    <col min="785" max="785" width="10.85546875" style="253" customWidth="1"/>
    <col min="786" max="797" width="0" style="253" hidden="1" customWidth="1"/>
    <col min="798" max="798" width="16" style="253" customWidth="1"/>
    <col min="799" max="799" width="9" style="253" customWidth="1"/>
    <col min="800" max="800" width="16.5703125" style="253" customWidth="1"/>
    <col min="801" max="801" width="10.42578125" style="253" customWidth="1"/>
    <col min="802" max="802" width="16" style="253" customWidth="1"/>
    <col min="803" max="803" width="11.42578125" style="253" customWidth="1"/>
    <col min="804" max="804" width="14" style="253" customWidth="1"/>
    <col min="805" max="1038" width="9.140625" style="253"/>
    <col min="1039" max="1039" width="21.140625" style="253" customWidth="1"/>
    <col min="1040" max="1040" width="17.7109375" style="253" customWidth="1"/>
    <col min="1041" max="1041" width="10.85546875" style="253" customWidth="1"/>
    <col min="1042" max="1053" width="0" style="253" hidden="1" customWidth="1"/>
    <col min="1054" max="1054" width="16" style="253" customWidth="1"/>
    <col min="1055" max="1055" width="9" style="253" customWidth="1"/>
    <col min="1056" max="1056" width="16.5703125" style="253" customWidth="1"/>
    <col min="1057" max="1057" width="10.42578125" style="253" customWidth="1"/>
    <col min="1058" max="1058" width="16" style="253" customWidth="1"/>
    <col min="1059" max="1059" width="11.42578125" style="253" customWidth="1"/>
    <col min="1060" max="1060" width="14" style="253" customWidth="1"/>
    <col min="1061" max="1294" width="9.140625" style="253"/>
    <col min="1295" max="1295" width="21.140625" style="253" customWidth="1"/>
    <col min="1296" max="1296" width="17.7109375" style="253" customWidth="1"/>
    <col min="1297" max="1297" width="10.85546875" style="253" customWidth="1"/>
    <col min="1298" max="1309" width="0" style="253" hidden="1" customWidth="1"/>
    <col min="1310" max="1310" width="16" style="253" customWidth="1"/>
    <col min="1311" max="1311" width="9" style="253" customWidth="1"/>
    <col min="1312" max="1312" width="16.5703125" style="253" customWidth="1"/>
    <col min="1313" max="1313" width="10.42578125" style="253" customWidth="1"/>
    <col min="1314" max="1314" width="16" style="253" customWidth="1"/>
    <col min="1315" max="1315" width="11.42578125" style="253" customWidth="1"/>
    <col min="1316" max="1316" width="14" style="253" customWidth="1"/>
    <col min="1317" max="1550" width="9.140625" style="253"/>
    <col min="1551" max="1551" width="21.140625" style="253" customWidth="1"/>
    <col min="1552" max="1552" width="17.7109375" style="253" customWidth="1"/>
    <col min="1553" max="1553" width="10.85546875" style="253" customWidth="1"/>
    <col min="1554" max="1565" width="0" style="253" hidden="1" customWidth="1"/>
    <col min="1566" max="1566" width="16" style="253" customWidth="1"/>
    <col min="1567" max="1567" width="9" style="253" customWidth="1"/>
    <col min="1568" max="1568" width="16.5703125" style="253" customWidth="1"/>
    <col min="1569" max="1569" width="10.42578125" style="253" customWidth="1"/>
    <col min="1570" max="1570" width="16" style="253" customWidth="1"/>
    <col min="1571" max="1571" width="11.42578125" style="253" customWidth="1"/>
    <col min="1572" max="1572" width="14" style="253" customWidth="1"/>
    <col min="1573" max="1806" width="9.140625" style="253"/>
    <col min="1807" max="1807" width="21.140625" style="253" customWidth="1"/>
    <col min="1808" max="1808" width="17.7109375" style="253" customWidth="1"/>
    <col min="1809" max="1809" width="10.85546875" style="253" customWidth="1"/>
    <col min="1810" max="1821" width="0" style="253" hidden="1" customWidth="1"/>
    <col min="1822" max="1822" width="16" style="253" customWidth="1"/>
    <col min="1823" max="1823" width="9" style="253" customWidth="1"/>
    <col min="1824" max="1824" width="16.5703125" style="253" customWidth="1"/>
    <col min="1825" max="1825" width="10.42578125" style="253" customWidth="1"/>
    <col min="1826" max="1826" width="16" style="253" customWidth="1"/>
    <col min="1827" max="1827" width="11.42578125" style="253" customWidth="1"/>
    <col min="1828" max="1828" width="14" style="253" customWidth="1"/>
    <col min="1829" max="2062" width="9.140625" style="253"/>
    <col min="2063" max="2063" width="21.140625" style="253" customWidth="1"/>
    <col min="2064" max="2064" width="17.7109375" style="253" customWidth="1"/>
    <col min="2065" max="2065" width="10.85546875" style="253" customWidth="1"/>
    <col min="2066" max="2077" width="0" style="253" hidden="1" customWidth="1"/>
    <col min="2078" max="2078" width="16" style="253" customWidth="1"/>
    <col min="2079" max="2079" width="9" style="253" customWidth="1"/>
    <col min="2080" max="2080" width="16.5703125" style="253" customWidth="1"/>
    <col min="2081" max="2081" width="10.42578125" style="253" customWidth="1"/>
    <col min="2082" max="2082" width="16" style="253" customWidth="1"/>
    <col min="2083" max="2083" width="11.42578125" style="253" customWidth="1"/>
    <col min="2084" max="2084" width="14" style="253" customWidth="1"/>
    <col min="2085" max="2318" width="9.140625" style="253"/>
    <col min="2319" max="2319" width="21.140625" style="253" customWidth="1"/>
    <col min="2320" max="2320" width="17.7109375" style="253" customWidth="1"/>
    <col min="2321" max="2321" width="10.85546875" style="253" customWidth="1"/>
    <col min="2322" max="2333" width="0" style="253" hidden="1" customWidth="1"/>
    <col min="2334" max="2334" width="16" style="253" customWidth="1"/>
    <col min="2335" max="2335" width="9" style="253" customWidth="1"/>
    <col min="2336" max="2336" width="16.5703125" style="253" customWidth="1"/>
    <col min="2337" max="2337" width="10.42578125" style="253" customWidth="1"/>
    <col min="2338" max="2338" width="16" style="253" customWidth="1"/>
    <col min="2339" max="2339" width="11.42578125" style="253" customWidth="1"/>
    <col min="2340" max="2340" width="14" style="253" customWidth="1"/>
    <col min="2341" max="2574" width="9.140625" style="253"/>
    <col min="2575" max="2575" width="21.140625" style="253" customWidth="1"/>
    <col min="2576" max="2576" width="17.7109375" style="253" customWidth="1"/>
    <col min="2577" max="2577" width="10.85546875" style="253" customWidth="1"/>
    <col min="2578" max="2589" width="0" style="253" hidden="1" customWidth="1"/>
    <col min="2590" max="2590" width="16" style="253" customWidth="1"/>
    <col min="2591" max="2591" width="9" style="253" customWidth="1"/>
    <col min="2592" max="2592" width="16.5703125" style="253" customWidth="1"/>
    <col min="2593" max="2593" width="10.42578125" style="253" customWidth="1"/>
    <col min="2594" max="2594" width="16" style="253" customWidth="1"/>
    <col min="2595" max="2595" width="11.42578125" style="253" customWidth="1"/>
    <col min="2596" max="2596" width="14" style="253" customWidth="1"/>
    <col min="2597" max="2830" width="9.140625" style="253"/>
    <col min="2831" max="2831" width="21.140625" style="253" customWidth="1"/>
    <col min="2832" max="2832" width="17.7109375" style="253" customWidth="1"/>
    <col min="2833" max="2833" width="10.85546875" style="253" customWidth="1"/>
    <col min="2834" max="2845" width="0" style="253" hidden="1" customWidth="1"/>
    <col min="2846" max="2846" width="16" style="253" customWidth="1"/>
    <col min="2847" max="2847" width="9" style="253" customWidth="1"/>
    <col min="2848" max="2848" width="16.5703125" style="253" customWidth="1"/>
    <col min="2849" max="2849" width="10.42578125" style="253" customWidth="1"/>
    <col min="2850" max="2850" width="16" style="253" customWidth="1"/>
    <col min="2851" max="2851" width="11.42578125" style="253" customWidth="1"/>
    <col min="2852" max="2852" width="14" style="253" customWidth="1"/>
    <col min="2853" max="3086" width="9.140625" style="253"/>
    <col min="3087" max="3087" width="21.140625" style="253" customWidth="1"/>
    <col min="3088" max="3088" width="17.7109375" style="253" customWidth="1"/>
    <col min="3089" max="3089" width="10.85546875" style="253" customWidth="1"/>
    <col min="3090" max="3101" width="0" style="253" hidden="1" customWidth="1"/>
    <col min="3102" max="3102" width="16" style="253" customWidth="1"/>
    <col min="3103" max="3103" width="9" style="253" customWidth="1"/>
    <col min="3104" max="3104" width="16.5703125" style="253" customWidth="1"/>
    <col min="3105" max="3105" width="10.42578125" style="253" customWidth="1"/>
    <col min="3106" max="3106" width="16" style="253" customWidth="1"/>
    <col min="3107" max="3107" width="11.42578125" style="253" customWidth="1"/>
    <col min="3108" max="3108" width="14" style="253" customWidth="1"/>
    <col min="3109" max="3342" width="9.140625" style="253"/>
    <col min="3343" max="3343" width="21.140625" style="253" customWidth="1"/>
    <col min="3344" max="3344" width="17.7109375" style="253" customWidth="1"/>
    <col min="3345" max="3345" width="10.85546875" style="253" customWidth="1"/>
    <col min="3346" max="3357" width="0" style="253" hidden="1" customWidth="1"/>
    <col min="3358" max="3358" width="16" style="253" customWidth="1"/>
    <col min="3359" max="3359" width="9" style="253" customWidth="1"/>
    <col min="3360" max="3360" width="16.5703125" style="253" customWidth="1"/>
    <col min="3361" max="3361" width="10.42578125" style="253" customWidth="1"/>
    <col min="3362" max="3362" width="16" style="253" customWidth="1"/>
    <col min="3363" max="3363" width="11.42578125" style="253" customWidth="1"/>
    <col min="3364" max="3364" width="14" style="253" customWidth="1"/>
    <col min="3365" max="3598" width="9.140625" style="253"/>
    <col min="3599" max="3599" width="21.140625" style="253" customWidth="1"/>
    <col min="3600" max="3600" width="17.7109375" style="253" customWidth="1"/>
    <col min="3601" max="3601" width="10.85546875" style="253" customWidth="1"/>
    <col min="3602" max="3613" width="0" style="253" hidden="1" customWidth="1"/>
    <col min="3614" max="3614" width="16" style="253" customWidth="1"/>
    <col min="3615" max="3615" width="9" style="253" customWidth="1"/>
    <col min="3616" max="3616" width="16.5703125" style="253" customWidth="1"/>
    <col min="3617" max="3617" width="10.42578125" style="253" customWidth="1"/>
    <col min="3618" max="3618" width="16" style="253" customWidth="1"/>
    <col min="3619" max="3619" width="11.42578125" style="253" customWidth="1"/>
    <col min="3620" max="3620" width="14" style="253" customWidth="1"/>
    <col min="3621" max="3854" width="9.140625" style="253"/>
    <col min="3855" max="3855" width="21.140625" style="253" customWidth="1"/>
    <col min="3856" max="3856" width="17.7109375" style="253" customWidth="1"/>
    <col min="3857" max="3857" width="10.85546875" style="253" customWidth="1"/>
    <col min="3858" max="3869" width="0" style="253" hidden="1" customWidth="1"/>
    <col min="3870" max="3870" width="16" style="253" customWidth="1"/>
    <col min="3871" max="3871" width="9" style="253" customWidth="1"/>
    <col min="3872" max="3872" width="16.5703125" style="253" customWidth="1"/>
    <col min="3873" max="3873" width="10.42578125" style="253" customWidth="1"/>
    <col min="3874" max="3874" width="16" style="253" customWidth="1"/>
    <col min="3875" max="3875" width="11.42578125" style="253" customWidth="1"/>
    <col min="3876" max="3876" width="14" style="253" customWidth="1"/>
    <col min="3877" max="4110" width="9.140625" style="253"/>
    <col min="4111" max="4111" width="21.140625" style="253" customWidth="1"/>
    <col min="4112" max="4112" width="17.7109375" style="253" customWidth="1"/>
    <col min="4113" max="4113" width="10.85546875" style="253" customWidth="1"/>
    <col min="4114" max="4125" width="0" style="253" hidden="1" customWidth="1"/>
    <col min="4126" max="4126" width="16" style="253" customWidth="1"/>
    <col min="4127" max="4127" width="9" style="253" customWidth="1"/>
    <col min="4128" max="4128" width="16.5703125" style="253" customWidth="1"/>
    <col min="4129" max="4129" width="10.42578125" style="253" customWidth="1"/>
    <col min="4130" max="4130" width="16" style="253" customWidth="1"/>
    <col min="4131" max="4131" width="11.42578125" style="253" customWidth="1"/>
    <col min="4132" max="4132" width="14" style="253" customWidth="1"/>
    <col min="4133" max="4366" width="9.140625" style="253"/>
    <col min="4367" max="4367" width="21.140625" style="253" customWidth="1"/>
    <col min="4368" max="4368" width="17.7109375" style="253" customWidth="1"/>
    <col min="4369" max="4369" width="10.85546875" style="253" customWidth="1"/>
    <col min="4370" max="4381" width="0" style="253" hidden="1" customWidth="1"/>
    <col min="4382" max="4382" width="16" style="253" customWidth="1"/>
    <col min="4383" max="4383" width="9" style="253" customWidth="1"/>
    <col min="4384" max="4384" width="16.5703125" style="253" customWidth="1"/>
    <col min="4385" max="4385" width="10.42578125" style="253" customWidth="1"/>
    <col min="4386" max="4386" width="16" style="253" customWidth="1"/>
    <col min="4387" max="4387" width="11.42578125" style="253" customWidth="1"/>
    <col min="4388" max="4388" width="14" style="253" customWidth="1"/>
    <col min="4389" max="4622" width="9.140625" style="253"/>
    <col min="4623" max="4623" width="21.140625" style="253" customWidth="1"/>
    <col min="4624" max="4624" width="17.7109375" style="253" customWidth="1"/>
    <col min="4625" max="4625" width="10.85546875" style="253" customWidth="1"/>
    <col min="4626" max="4637" width="0" style="253" hidden="1" customWidth="1"/>
    <col min="4638" max="4638" width="16" style="253" customWidth="1"/>
    <col min="4639" max="4639" width="9" style="253" customWidth="1"/>
    <col min="4640" max="4640" width="16.5703125" style="253" customWidth="1"/>
    <col min="4641" max="4641" width="10.42578125" style="253" customWidth="1"/>
    <col min="4642" max="4642" width="16" style="253" customWidth="1"/>
    <col min="4643" max="4643" width="11.42578125" style="253" customWidth="1"/>
    <col min="4644" max="4644" width="14" style="253" customWidth="1"/>
    <col min="4645" max="4878" width="9.140625" style="253"/>
    <col min="4879" max="4879" width="21.140625" style="253" customWidth="1"/>
    <col min="4880" max="4880" width="17.7109375" style="253" customWidth="1"/>
    <col min="4881" max="4881" width="10.85546875" style="253" customWidth="1"/>
    <col min="4882" max="4893" width="0" style="253" hidden="1" customWidth="1"/>
    <col min="4894" max="4894" width="16" style="253" customWidth="1"/>
    <col min="4895" max="4895" width="9" style="253" customWidth="1"/>
    <col min="4896" max="4896" width="16.5703125" style="253" customWidth="1"/>
    <col min="4897" max="4897" width="10.42578125" style="253" customWidth="1"/>
    <col min="4898" max="4898" width="16" style="253" customWidth="1"/>
    <col min="4899" max="4899" width="11.42578125" style="253" customWidth="1"/>
    <col min="4900" max="4900" width="14" style="253" customWidth="1"/>
    <col min="4901" max="5134" width="9.140625" style="253"/>
    <col min="5135" max="5135" width="21.140625" style="253" customWidth="1"/>
    <col min="5136" max="5136" width="17.7109375" style="253" customWidth="1"/>
    <col min="5137" max="5137" width="10.85546875" style="253" customWidth="1"/>
    <col min="5138" max="5149" width="0" style="253" hidden="1" customWidth="1"/>
    <col min="5150" max="5150" width="16" style="253" customWidth="1"/>
    <col min="5151" max="5151" width="9" style="253" customWidth="1"/>
    <col min="5152" max="5152" width="16.5703125" style="253" customWidth="1"/>
    <col min="5153" max="5153" width="10.42578125" style="253" customWidth="1"/>
    <col min="5154" max="5154" width="16" style="253" customWidth="1"/>
    <col min="5155" max="5155" width="11.42578125" style="253" customWidth="1"/>
    <col min="5156" max="5156" width="14" style="253" customWidth="1"/>
    <col min="5157" max="5390" width="9.140625" style="253"/>
    <col min="5391" max="5391" width="21.140625" style="253" customWidth="1"/>
    <col min="5392" max="5392" width="17.7109375" style="253" customWidth="1"/>
    <col min="5393" max="5393" width="10.85546875" style="253" customWidth="1"/>
    <col min="5394" max="5405" width="0" style="253" hidden="1" customWidth="1"/>
    <col min="5406" max="5406" width="16" style="253" customWidth="1"/>
    <col min="5407" max="5407" width="9" style="253" customWidth="1"/>
    <col min="5408" max="5408" width="16.5703125" style="253" customWidth="1"/>
    <col min="5409" max="5409" width="10.42578125" style="253" customWidth="1"/>
    <col min="5410" max="5410" width="16" style="253" customWidth="1"/>
    <col min="5411" max="5411" width="11.42578125" style="253" customWidth="1"/>
    <col min="5412" max="5412" width="14" style="253" customWidth="1"/>
    <col min="5413" max="5646" width="9.140625" style="253"/>
    <col min="5647" max="5647" width="21.140625" style="253" customWidth="1"/>
    <col min="5648" max="5648" width="17.7109375" style="253" customWidth="1"/>
    <col min="5649" max="5649" width="10.85546875" style="253" customWidth="1"/>
    <col min="5650" max="5661" width="0" style="253" hidden="1" customWidth="1"/>
    <col min="5662" max="5662" width="16" style="253" customWidth="1"/>
    <col min="5663" max="5663" width="9" style="253" customWidth="1"/>
    <col min="5664" max="5664" width="16.5703125" style="253" customWidth="1"/>
    <col min="5665" max="5665" width="10.42578125" style="253" customWidth="1"/>
    <col min="5666" max="5666" width="16" style="253" customWidth="1"/>
    <col min="5667" max="5667" width="11.42578125" style="253" customWidth="1"/>
    <col min="5668" max="5668" width="14" style="253" customWidth="1"/>
    <col min="5669" max="5902" width="9.140625" style="253"/>
    <col min="5903" max="5903" width="21.140625" style="253" customWidth="1"/>
    <col min="5904" max="5904" width="17.7109375" style="253" customWidth="1"/>
    <col min="5905" max="5905" width="10.85546875" style="253" customWidth="1"/>
    <col min="5906" max="5917" width="0" style="253" hidden="1" customWidth="1"/>
    <col min="5918" max="5918" width="16" style="253" customWidth="1"/>
    <col min="5919" max="5919" width="9" style="253" customWidth="1"/>
    <col min="5920" max="5920" width="16.5703125" style="253" customWidth="1"/>
    <col min="5921" max="5921" width="10.42578125" style="253" customWidth="1"/>
    <col min="5922" max="5922" width="16" style="253" customWidth="1"/>
    <col min="5923" max="5923" width="11.42578125" style="253" customWidth="1"/>
    <col min="5924" max="5924" width="14" style="253" customWidth="1"/>
    <col min="5925" max="6158" width="9.140625" style="253"/>
    <col min="6159" max="6159" width="21.140625" style="253" customWidth="1"/>
    <col min="6160" max="6160" width="17.7109375" style="253" customWidth="1"/>
    <col min="6161" max="6161" width="10.85546875" style="253" customWidth="1"/>
    <col min="6162" max="6173" width="0" style="253" hidden="1" customWidth="1"/>
    <col min="6174" max="6174" width="16" style="253" customWidth="1"/>
    <col min="6175" max="6175" width="9" style="253" customWidth="1"/>
    <col min="6176" max="6176" width="16.5703125" style="253" customWidth="1"/>
    <col min="6177" max="6177" width="10.42578125" style="253" customWidth="1"/>
    <col min="6178" max="6178" width="16" style="253" customWidth="1"/>
    <col min="6179" max="6179" width="11.42578125" style="253" customWidth="1"/>
    <col min="6180" max="6180" width="14" style="253" customWidth="1"/>
    <col min="6181" max="6414" width="9.140625" style="253"/>
    <col min="6415" max="6415" width="21.140625" style="253" customWidth="1"/>
    <col min="6416" max="6416" width="17.7109375" style="253" customWidth="1"/>
    <col min="6417" max="6417" width="10.85546875" style="253" customWidth="1"/>
    <col min="6418" max="6429" width="0" style="253" hidden="1" customWidth="1"/>
    <col min="6430" max="6430" width="16" style="253" customWidth="1"/>
    <col min="6431" max="6431" width="9" style="253" customWidth="1"/>
    <col min="6432" max="6432" width="16.5703125" style="253" customWidth="1"/>
    <col min="6433" max="6433" width="10.42578125" style="253" customWidth="1"/>
    <col min="6434" max="6434" width="16" style="253" customWidth="1"/>
    <col min="6435" max="6435" width="11.42578125" style="253" customWidth="1"/>
    <col min="6436" max="6436" width="14" style="253" customWidth="1"/>
    <col min="6437" max="6670" width="9.140625" style="253"/>
    <col min="6671" max="6671" width="21.140625" style="253" customWidth="1"/>
    <col min="6672" max="6672" width="17.7109375" style="253" customWidth="1"/>
    <col min="6673" max="6673" width="10.85546875" style="253" customWidth="1"/>
    <col min="6674" max="6685" width="0" style="253" hidden="1" customWidth="1"/>
    <col min="6686" max="6686" width="16" style="253" customWidth="1"/>
    <col min="6687" max="6687" width="9" style="253" customWidth="1"/>
    <col min="6688" max="6688" width="16.5703125" style="253" customWidth="1"/>
    <col min="6689" max="6689" width="10.42578125" style="253" customWidth="1"/>
    <col min="6690" max="6690" width="16" style="253" customWidth="1"/>
    <col min="6691" max="6691" width="11.42578125" style="253" customWidth="1"/>
    <col min="6692" max="6692" width="14" style="253" customWidth="1"/>
    <col min="6693" max="6926" width="9.140625" style="253"/>
    <col min="6927" max="6927" width="21.140625" style="253" customWidth="1"/>
    <col min="6928" max="6928" width="17.7109375" style="253" customWidth="1"/>
    <col min="6929" max="6929" width="10.85546875" style="253" customWidth="1"/>
    <col min="6930" max="6941" width="0" style="253" hidden="1" customWidth="1"/>
    <col min="6942" max="6942" width="16" style="253" customWidth="1"/>
    <col min="6943" max="6943" width="9" style="253" customWidth="1"/>
    <col min="6944" max="6944" width="16.5703125" style="253" customWidth="1"/>
    <col min="6945" max="6945" width="10.42578125" style="253" customWidth="1"/>
    <col min="6946" max="6946" width="16" style="253" customWidth="1"/>
    <col min="6947" max="6947" width="11.42578125" style="253" customWidth="1"/>
    <col min="6948" max="6948" width="14" style="253" customWidth="1"/>
    <col min="6949" max="7182" width="9.140625" style="253"/>
    <col min="7183" max="7183" width="21.140625" style="253" customWidth="1"/>
    <col min="7184" max="7184" width="17.7109375" style="253" customWidth="1"/>
    <col min="7185" max="7185" width="10.85546875" style="253" customWidth="1"/>
    <col min="7186" max="7197" width="0" style="253" hidden="1" customWidth="1"/>
    <col min="7198" max="7198" width="16" style="253" customWidth="1"/>
    <col min="7199" max="7199" width="9" style="253" customWidth="1"/>
    <col min="7200" max="7200" width="16.5703125" style="253" customWidth="1"/>
    <col min="7201" max="7201" width="10.42578125" style="253" customWidth="1"/>
    <col min="7202" max="7202" width="16" style="253" customWidth="1"/>
    <col min="7203" max="7203" width="11.42578125" style="253" customWidth="1"/>
    <col min="7204" max="7204" width="14" style="253" customWidth="1"/>
    <col min="7205" max="7438" width="9.140625" style="253"/>
    <col min="7439" max="7439" width="21.140625" style="253" customWidth="1"/>
    <col min="7440" max="7440" width="17.7109375" style="253" customWidth="1"/>
    <col min="7441" max="7441" width="10.85546875" style="253" customWidth="1"/>
    <col min="7442" max="7453" width="0" style="253" hidden="1" customWidth="1"/>
    <col min="7454" max="7454" width="16" style="253" customWidth="1"/>
    <col min="7455" max="7455" width="9" style="253" customWidth="1"/>
    <col min="7456" max="7456" width="16.5703125" style="253" customWidth="1"/>
    <col min="7457" max="7457" width="10.42578125" style="253" customWidth="1"/>
    <col min="7458" max="7458" width="16" style="253" customWidth="1"/>
    <col min="7459" max="7459" width="11.42578125" style="253" customWidth="1"/>
    <col min="7460" max="7460" width="14" style="253" customWidth="1"/>
    <col min="7461" max="7694" width="9.140625" style="253"/>
    <col min="7695" max="7695" width="21.140625" style="253" customWidth="1"/>
    <col min="7696" max="7696" width="17.7109375" style="253" customWidth="1"/>
    <col min="7697" max="7697" width="10.85546875" style="253" customWidth="1"/>
    <col min="7698" max="7709" width="0" style="253" hidden="1" customWidth="1"/>
    <col min="7710" max="7710" width="16" style="253" customWidth="1"/>
    <col min="7711" max="7711" width="9" style="253" customWidth="1"/>
    <col min="7712" max="7712" width="16.5703125" style="253" customWidth="1"/>
    <col min="7713" max="7713" width="10.42578125" style="253" customWidth="1"/>
    <col min="7714" max="7714" width="16" style="253" customWidth="1"/>
    <col min="7715" max="7715" width="11.42578125" style="253" customWidth="1"/>
    <col min="7716" max="7716" width="14" style="253" customWidth="1"/>
    <col min="7717" max="7950" width="9.140625" style="253"/>
    <col min="7951" max="7951" width="21.140625" style="253" customWidth="1"/>
    <col min="7952" max="7952" width="17.7109375" style="253" customWidth="1"/>
    <col min="7953" max="7953" width="10.85546875" style="253" customWidth="1"/>
    <col min="7954" max="7965" width="0" style="253" hidden="1" customWidth="1"/>
    <col min="7966" max="7966" width="16" style="253" customWidth="1"/>
    <col min="7967" max="7967" width="9" style="253" customWidth="1"/>
    <col min="7968" max="7968" width="16.5703125" style="253" customWidth="1"/>
    <col min="7969" max="7969" width="10.42578125" style="253" customWidth="1"/>
    <col min="7970" max="7970" width="16" style="253" customWidth="1"/>
    <col min="7971" max="7971" width="11.42578125" style="253" customWidth="1"/>
    <col min="7972" max="7972" width="14" style="253" customWidth="1"/>
    <col min="7973" max="8206" width="9.140625" style="253"/>
    <col min="8207" max="8207" width="21.140625" style="253" customWidth="1"/>
    <col min="8208" max="8208" width="17.7109375" style="253" customWidth="1"/>
    <col min="8209" max="8209" width="10.85546875" style="253" customWidth="1"/>
    <col min="8210" max="8221" width="0" style="253" hidden="1" customWidth="1"/>
    <col min="8222" max="8222" width="16" style="253" customWidth="1"/>
    <col min="8223" max="8223" width="9" style="253" customWidth="1"/>
    <col min="8224" max="8224" width="16.5703125" style="253" customWidth="1"/>
    <col min="8225" max="8225" width="10.42578125" style="253" customWidth="1"/>
    <col min="8226" max="8226" width="16" style="253" customWidth="1"/>
    <col min="8227" max="8227" width="11.42578125" style="253" customWidth="1"/>
    <col min="8228" max="8228" width="14" style="253" customWidth="1"/>
    <col min="8229" max="8462" width="9.140625" style="253"/>
    <col min="8463" max="8463" width="21.140625" style="253" customWidth="1"/>
    <col min="8464" max="8464" width="17.7109375" style="253" customWidth="1"/>
    <col min="8465" max="8465" width="10.85546875" style="253" customWidth="1"/>
    <col min="8466" max="8477" width="0" style="253" hidden="1" customWidth="1"/>
    <col min="8478" max="8478" width="16" style="253" customWidth="1"/>
    <col min="8479" max="8479" width="9" style="253" customWidth="1"/>
    <col min="8480" max="8480" width="16.5703125" style="253" customWidth="1"/>
    <col min="8481" max="8481" width="10.42578125" style="253" customWidth="1"/>
    <col min="8482" max="8482" width="16" style="253" customWidth="1"/>
    <col min="8483" max="8483" width="11.42578125" style="253" customWidth="1"/>
    <col min="8484" max="8484" width="14" style="253" customWidth="1"/>
    <col min="8485" max="8718" width="9.140625" style="253"/>
    <col min="8719" max="8719" width="21.140625" style="253" customWidth="1"/>
    <col min="8720" max="8720" width="17.7109375" style="253" customWidth="1"/>
    <col min="8721" max="8721" width="10.85546875" style="253" customWidth="1"/>
    <col min="8722" max="8733" width="0" style="253" hidden="1" customWidth="1"/>
    <col min="8734" max="8734" width="16" style="253" customWidth="1"/>
    <col min="8735" max="8735" width="9" style="253" customWidth="1"/>
    <col min="8736" max="8736" width="16.5703125" style="253" customWidth="1"/>
    <col min="8737" max="8737" width="10.42578125" style="253" customWidth="1"/>
    <col min="8738" max="8738" width="16" style="253" customWidth="1"/>
    <col min="8739" max="8739" width="11.42578125" style="253" customWidth="1"/>
    <col min="8740" max="8740" width="14" style="253" customWidth="1"/>
    <col min="8741" max="8974" width="9.140625" style="253"/>
    <col min="8975" max="8975" width="21.140625" style="253" customWidth="1"/>
    <col min="8976" max="8976" width="17.7109375" style="253" customWidth="1"/>
    <col min="8977" max="8977" width="10.85546875" style="253" customWidth="1"/>
    <col min="8978" max="8989" width="0" style="253" hidden="1" customWidth="1"/>
    <col min="8990" max="8990" width="16" style="253" customWidth="1"/>
    <col min="8991" max="8991" width="9" style="253" customWidth="1"/>
    <col min="8992" max="8992" width="16.5703125" style="253" customWidth="1"/>
    <col min="8993" max="8993" width="10.42578125" style="253" customWidth="1"/>
    <col min="8994" max="8994" width="16" style="253" customWidth="1"/>
    <col min="8995" max="8995" width="11.42578125" style="253" customWidth="1"/>
    <col min="8996" max="8996" width="14" style="253" customWidth="1"/>
    <col min="8997" max="9230" width="9.140625" style="253"/>
    <col min="9231" max="9231" width="21.140625" style="253" customWidth="1"/>
    <col min="9232" max="9232" width="17.7109375" style="253" customWidth="1"/>
    <col min="9233" max="9233" width="10.85546875" style="253" customWidth="1"/>
    <col min="9234" max="9245" width="0" style="253" hidden="1" customWidth="1"/>
    <col min="9246" max="9246" width="16" style="253" customWidth="1"/>
    <col min="9247" max="9247" width="9" style="253" customWidth="1"/>
    <col min="9248" max="9248" width="16.5703125" style="253" customWidth="1"/>
    <col min="9249" max="9249" width="10.42578125" style="253" customWidth="1"/>
    <col min="9250" max="9250" width="16" style="253" customWidth="1"/>
    <col min="9251" max="9251" width="11.42578125" style="253" customWidth="1"/>
    <col min="9252" max="9252" width="14" style="253" customWidth="1"/>
    <col min="9253" max="9486" width="9.140625" style="253"/>
    <col min="9487" max="9487" width="21.140625" style="253" customWidth="1"/>
    <col min="9488" max="9488" width="17.7109375" style="253" customWidth="1"/>
    <col min="9489" max="9489" width="10.85546875" style="253" customWidth="1"/>
    <col min="9490" max="9501" width="0" style="253" hidden="1" customWidth="1"/>
    <col min="9502" max="9502" width="16" style="253" customWidth="1"/>
    <col min="9503" max="9503" width="9" style="253" customWidth="1"/>
    <col min="9504" max="9504" width="16.5703125" style="253" customWidth="1"/>
    <col min="9505" max="9505" width="10.42578125" style="253" customWidth="1"/>
    <col min="9506" max="9506" width="16" style="253" customWidth="1"/>
    <col min="9507" max="9507" width="11.42578125" style="253" customWidth="1"/>
    <col min="9508" max="9508" width="14" style="253" customWidth="1"/>
    <col min="9509" max="9742" width="9.140625" style="253"/>
    <col min="9743" max="9743" width="21.140625" style="253" customWidth="1"/>
    <col min="9744" max="9744" width="17.7109375" style="253" customWidth="1"/>
    <col min="9745" max="9745" width="10.85546875" style="253" customWidth="1"/>
    <col min="9746" max="9757" width="0" style="253" hidden="1" customWidth="1"/>
    <col min="9758" max="9758" width="16" style="253" customWidth="1"/>
    <col min="9759" max="9759" width="9" style="253" customWidth="1"/>
    <col min="9760" max="9760" width="16.5703125" style="253" customWidth="1"/>
    <col min="9761" max="9761" width="10.42578125" style="253" customWidth="1"/>
    <col min="9762" max="9762" width="16" style="253" customWidth="1"/>
    <col min="9763" max="9763" width="11.42578125" style="253" customWidth="1"/>
    <col min="9764" max="9764" width="14" style="253" customWidth="1"/>
    <col min="9765" max="9998" width="9.140625" style="253"/>
    <col min="9999" max="9999" width="21.140625" style="253" customWidth="1"/>
    <col min="10000" max="10000" width="17.7109375" style="253" customWidth="1"/>
    <col min="10001" max="10001" width="10.85546875" style="253" customWidth="1"/>
    <col min="10002" max="10013" width="0" style="253" hidden="1" customWidth="1"/>
    <col min="10014" max="10014" width="16" style="253" customWidth="1"/>
    <col min="10015" max="10015" width="9" style="253" customWidth="1"/>
    <col min="10016" max="10016" width="16.5703125" style="253" customWidth="1"/>
    <col min="10017" max="10017" width="10.42578125" style="253" customWidth="1"/>
    <col min="10018" max="10018" width="16" style="253" customWidth="1"/>
    <col min="10019" max="10019" width="11.42578125" style="253" customWidth="1"/>
    <col min="10020" max="10020" width="14" style="253" customWidth="1"/>
    <col min="10021" max="10254" width="9.140625" style="253"/>
    <col min="10255" max="10255" width="21.140625" style="253" customWidth="1"/>
    <col min="10256" max="10256" width="17.7109375" style="253" customWidth="1"/>
    <col min="10257" max="10257" width="10.85546875" style="253" customWidth="1"/>
    <col min="10258" max="10269" width="0" style="253" hidden="1" customWidth="1"/>
    <col min="10270" max="10270" width="16" style="253" customWidth="1"/>
    <col min="10271" max="10271" width="9" style="253" customWidth="1"/>
    <col min="10272" max="10272" width="16.5703125" style="253" customWidth="1"/>
    <col min="10273" max="10273" width="10.42578125" style="253" customWidth="1"/>
    <col min="10274" max="10274" width="16" style="253" customWidth="1"/>
    <col min="10275" max="10275" width="11.42578125" style="253" customWidth="1"/>
    <col min="10276" max="10276" width="14" style="253" customWidth="1"/>
    <col min="10277" max="10510" width="9.140625" style="253"/>
    <col min="10511" max="10511" width="21.140625" style="253" customWidth="1"/>
    <col min="10512" max="10512" width="17.7109375" style="253" customWidth="1"/>
    <col min="10513" max="10513" width="10.85546875" style="253" customWidth="1"/>
    <col min="10514" max="10525" width="0" style="253" hidden="1" customWidth="1"/>
    <col min="10526" max="10526" width="16" style="253" customWidth="1"/>
    <col min="10527" max="10527" width="9" style="253" customWidth="1"/>
    <col min="10528" max="10528" width="16.5703125" style="253" customWidth="1"/>
    <col min="10529" max="10529" width="10.42578125" style="253" customWidth="1"/>
    <col min="10530" max="10530" width="16" style="253" customWidth="1"/>
    <col min="10531" max="10531" width="11.42578125" style="253" customWidth="1"/>
    <col min="10532" max="10532" width="14" style="253" customWidth="1"/>
    <col min="10533" max="10766" width="9.140625" style="253"/>
    <col min="10767" max="10767" width="21.140625" style="253" customWidth="1"/>
    <col min="10768" max="10768" width="17.7109375" style="253" customWidth="1"/>
    <col min="10769" max="10769" width="10.85546875" style="253" customWidth="1"/>
    <col min="10770" max="10781" width="0" style="253" hidden="1" customWidth="1"/>
    <col min="10782" max="10782" width="16" style="253" customWidth="1"/>
    <col min="10783" max="10783" width="9" style="253" customWidth="1"/>
    <col min="10784" max="10784" width="16.5703125" style="253" customWidth="1"/>
    <col min="10785" max="10785" width="10.42578125" style="253" customWidth="1"/>
    <col min="10786" max="10786" width="16" style="253" customWidth="1"/>
    <col min="10787" max="10787" width="11.42578125" style="253" customWidth="1"/>
    <col min="10788" max="10788" width="14" style="253" customWidth="1"/>
    <col min="10789" max="11022" width="9.140625" style="253"/>
    <col min="11023" max="11023" width="21.140625" style="253" customWidth="1"/>
    <col min="11024" max="11024" width="17.7109375" style="253" customWidth="1"/>
    <col min="11025" max="11025" width="10.85546875" style="253" customWidth="1"/>
    <col min="11026" max="11037" width="0" style="253" hidden="1" customWidth="1"/>
    <col min="11038" max="11038" width="16" style="253" customWidth="1"/>
    <col min="11039" max="11039" width="9" style="253" customWidth="1"/>
    <col min="11040" max="11040" width="16.5703125" style="253" customWidth="1"/>
    <col min="11041" max="11041" width="10.42578125" style="253" customWidth="1"/>
    <col min="11042" max="11042" width="16" style="253" customWidth="1"/>
    <col min="11043" max="11043" width="11.42578125" style="253" customWidth="1"/>
    <col min="11044" max="11044" width="14" style="253" customWidth="1"/>
    <col min="11045" max="11278" width="9.140625" style="253"/>
    <col min="11279" max="11279" width="21.140625" style="253" customWidth="1"/>
    <col min="11280" max="11280" width="17.7109375" style="253" customWidth="1"/>
    <col min="11281" max="11281" width="10.85546875" style="253" customWidth="1"/>
    <col min="11282" max="11293" width="0" style="253" hidden="1" customWidth="1"/>
    <col min="11294" max="11294" width="16" style="253" customWidth="1"/>
    <col min="11295" max="11295" width="9" style="253" customWidth="1"/>
    <col min="11296" max="11296" width="16.5703125" style="253" customWidth="1"/>
    <col min="11297" max="11297" width="10.42578125" style="253" customWidth="1"/>
    <col min="11298" max="11298" width="16" style="253" customWidth="1"/>
    <col min="11299" max="11299" width="11.42578125" style="253" customWidth="1"/>
    <col min="11300" max="11300" width="14" style="253" customWidth="1"/>
    <col min="11301" max="11534" width="9.140625" style="253"/>
    <col min="11535" max="11535" width="21.140625" style="253" customWidth="1"/>
    <col min="11536" max="11536" width="17.7109375" style="253" customWidth="1"/>
    <col min="11537" max="11537" width="10.85546875" style="253" customWidth="1"/>
    <col min="11538" max="11549" width="0" style="253" hidden="1" customWidth="1"/>
    <col min="11550" max="11550" width="16" style="253" customWidth="1"/>
    <col min="11551" max="11551" width="9" style="253" customWidth="1"/>
    <col min="11552" max="11552" width="16.5703125" style="253" customWidth="1"/>
    <col min="11553" max="11553" width="10.42578125" style="253" customWidth="1"/>
    <col min="11554" max="11554" width="16" style="253" customWidth="1"/>
    <col min="11555" max="11555" width="11.42578125" style="253" customWidth="1"/>
    <col min="11556" max="11556" width="14" style="253" customWidth="1"/>
    <col min="11557" max="11790" width="9.140625" style="253"/>
    <col min="11791" max="11791" width="21.140625" style="253" customWidth="1"/>
    <col min="11792" max="11792" width="17.7109375" style="253" customWidth="1"/>
    <col min="11793" max="11793" width="10.85546875" style="253" customWidth="1"/>
    <col min="11794" max="11805" width="0" style="253" hidden="1" customWidth="1"/>
    <col min="11806" max="11806" width="16" style="253" customWidth="1"/>
    <col min="11807" max="11807" width="9" style="253" customWidth="1"/>
    <col min="11808" max="11808" width="16.5703125" style="253" customWidth="1"/>
    <col min="11809" max="11809" width="10.42578125" style="253" customWidth="1"/>
    <col min="11810" max="11810" width="16" style="253" customWidth="1"/>
    <col min="11811" max="11811" width="11.42578125" style="253" customWidth="1"/>
    <col min="11812" max="11812" width="14" style="253" customWidth="1"/>
    <col min="11813" max="12046" width="9.140625" style="253"/>
    <col min="12047" max="12047" width="21.140625" style="253" customWidth="1"/>
    <col min="12048" max="12048" width="17.7109375" style="253" customWidth="1"/>
    <col min="12049" max="12049" width="10.85546875" style="253" customWidth="1"/>
    <col min="12050" max="12061" width="0" style="253" hidden="1" customWidth="1"/>
    <col min="12062" max="12062" width="16" style="253" customWidth="1"/>
    <col min="12063" max="12063" width="9" style="253" customWidth="1"/>
    <col min="12064" max="12064" width="16.5703125" style="253" customWidth="1"/>
    <col min="12065" max="12065" width="10.42578125" style="253" customWidth="1"/>
    <col min="12066" max="12066" width="16" style="253" customWidth="1"/>
    <col min="12067" max="12067" width="11.42578125" style="253" customWidth="1"/>
    <col min="12068" max="12068" width="14" style="253" customWidth="1"/>
    <col min="12069" max="12302" width="9.140625" style="253"/>
    <col min="12303" max="12303" width="21.140625" style="253" customWidth="1"/>
    <col min="12304" max="12304" width="17.7109375" style="253" customWidth="1"/>
    <col min="12305" max="12305" width="10.85546875" style="253" customWidth="1"/>
    <col min="12306" max="12317" width="0" style="253" hidden="1" customWidth="1"/>
    <col min="12318" max="12318" width="16" style="253" customWidth="1"/>
    <col min="12319" max="12319" width="9" style="253" customWidth="1"/>
    <col min="12320" max="12320" width="16.5703125" style="253" customWidth="1"/>
    <col min="12321" max="12321" width="10.42578125" style="253" customWidth="1"/>
    <col min="12322" max="12322" width="16" style="253" customWidth="1"/>
    <col min="12323" max="12323" width="11.42578125" style="253" customWidth="1"/>
    <col min="12324" max="12324" width="14" style="253" customWidth="1"/>
    <col min="12325" max="12558" width="9.140625" style="253"/>
    <col min="12559" max="12559" width="21.140625" style="253" customWidth="1"/>
    <col min="12560" max="12560" width="17.7109375" style="253" customWidth="1"/>
    <col min="12561" max="12561" width="10.85546875" style="253" customWidth="1"/>
    <col min="12562" max="12573" width="0" style="253" hidden="1" customWidth="1"/>
    <col min="12574" max="12574" width="16" style="253" customWidth="1"/>
    <col min="12575" max="12575" width="9" style="253" customWidth="1"/>
    <col min="12576" max="12576" width="16.5703125" style="253" customWidth="1"/>
    <col min="12577" max="12577" width="10.42578125" style="253" customWidth="1"/>
    <col min="12578" max="12578" width="16" style="253" customWidth="1"/>
    <col min="12579" max="12579" width="11.42578125" style="253" customWidth="1"/>
    <col min="12580" max="12580" width="14" style="253" customWidth="1"/>
    <col min="12581" max="12814" width="9.140625" style="253"/>
    <col min="12815" max="12815" width="21.140625" style="253" customWidth="1"/>
    <col min="12816" max="12816" width="17.7109375" style="253" customWidth="1"/>
    <col min="12817" max="12817" width="10.85546875" style="253" customWidth="1"/>
    <col min="12818" max="12829" width="0" style="253" hidden="1" customWidth="1"/>
    <col min="12830" max="12830" width="16" style="253" customWidth="1"/>
    <col min="12831" max="12831" width="9" style="253" customWidth="1"/>
    <col min="12832" max="12832" width="16.5703125" style="253" customWidth="1"/>
    <col min="12833" max="12833" width="10.42578125" style="253" customWidth="1"/>
    <col min="12834" max="12834" width="16" style="253" customWidth="1"/>
    <col min="12835" max="12835" width="11.42578125" style="253" customWidth="1"/>
    <col min="12836" max="12836" width="14" style="253" customWidth="1"/>
    <col min="12837" max="13070" width="9.140625" style="253"/>
    <col min="13071" max="13071" width="21.140625" style="253" customWidth="1"/>
    <col min="13072" max="13072" width="17.7109375" style="253" customWidth="1"/>
    <col min="13073" max="13073" width="10.85546875" style="253" customWidth="1"/>
    <col min="13074" max="13085" width="0" style="253" hidden="1" customWidth="1"/>
    <col min="13086" max="13086" width="16" style="253" customWidth="1"/>
    <col min="13087" max="13087" width="9" style="253" customWidth="1"/>
    <col min="13088" max="13088" width="16.5703125" style="253" customWidth="1"/>
    <col min="13089" max="13089" width="10.42578125" style="253" customWidth="1"/>
    <col min="13090" max="13090" width="16" style="253" customWidth="1"/>
    <col min="13091" max="13091" width="11.42578125" style="253" customWidth="1"/>
    <col min="13092" max="13092" width="14" style="253" customWidth="1"/>
    <col min="13093" max="13326" width="9.140625" style="253"/>
    <col min="13327" max="13327" width="21.140625" style="253" customWidth="1"/>
    <col min="13328" max="13328" width="17.7109375" style="253" customWidth="1"/>
    <col min="13329" max="13329" width="10.85546875" style="253" customWidth="1"/>
    <col min="13330" max="13341" width="0" style="253" hidden="1" customWidth="1"/>
    <col min="13342" max="13342" width="16" style="253" customWidth="1"/>
    <col min="13343" max="13343" width="9" style="253" customWidth="1"/>
    <col min="13344" max="13344" width="16.5703125" style="253" customWidth="1"/>
    <col min="13345" max="13345" width="10.42578125" style="253" customWidth="1"/>
    <col min="13346" max="13346" width="16" style="253" customWidth="1"/>
    <col min="13347" max="13347" width="11.42578125" style="253" customWidth="1"/>
    <col min="13348" max="13348" width="14" style="253" customWidth="1"/>
    <col min="13349" max="13582" width="9.140625" style="253"/>
    <col min="13583" max="13583" width="21.140625" style="253" customWidth="1"/>
    <col min="13584" max="13584" width="17.7109375" style="253" customWidth="1"/>
    <col min="13585" max="13585" width="10.85546875" style="253" customWidth="1"/>
    <col min="13586" max="13597" width="0" style="253" hidden="1" customWidth="1"/>
    <col min="13598" max="13598" width="16" style="253" customWidth="1"/>
    <col min="13599" max="13599" width="9" style="253" customWidth="1"/>
    <col min="13600" max="13600" width="16.5703125" style="253" customWidth="1"/>
    <col min="13601" max="13601" width="10.42578125" style="253" customWidth="1"/>
    <col min="13602" max="13602" width="16" style="253" customWidth="1"/>
    <col min="13603" max="13603" width="11.42578125" style="253" customWidth="1"/>
    <col min="13604" max="13604" width="14" style="253" customWidth="1"/>
    <col min="13605" max="13838" width="9.140625" style="253"/>
    <col min="13839" max="13839" width="21.140625" style="253" customWidth="1"/>
    <col min="13840" max="13840" width="17.7109375" style="253" customWidth="1"/>
    <col min="13841" max="13841" width="10.85546875" style="253" customWidth="1"/>
    <col min="13842" max="13853" width="0" style="253" hidden="1" customWidth="1"/>
    <col min="13854" max="13854" width="16" style="253" customWidth="1"/>
    <col min="13855" max="13855" width="9" style="253" customWidth="1"/>
    <col min="13856" max="13856" width="16.5703125" style="253" customWidth="1"/>
    <col min="13857" max="13857" width="10.42578125" style="253" customWidth="1"/>
    <col min="13858" max="13858" width="16" style="253" customWidth="1"/>
    <col min="13859" max="13859" width="11.42578125" style="253" customWidth="1"/>
    <col min="13860" max="13860" width="14" style="253" customWidth="1"/>
    <col min="13861" max="14094" width="9.140625" style="253"/>
    <col min="14095" max="14095" width="21.140625" style="253" customWidth="1"/>
    <col min="14096" max="14096" width="17.7109375" style="253" customWidth="1"/>
    <col min="14097" max="14097" width="10.85546875" style="253" customWidth="1"/>
    <col min="14098" max="14109" width="0" style="253" hidden="1" customWidth="1"/>
    <col min="14110" max="14110" width="16" style="253" customWidth="1"/>
    <col min="14111" max="14111" width="9" style="253" customWidth="1"/>
    <col min="14112" max="14112" width="16.5703125" style="253" customWidth="1"/>
    <col min="14113" max="14113" width="10.42578125" style="253" customWidth="1"/>
    <col min="14114" max="14114" width="16" style="253" customWidth="1"/>
    <col min="14115" max="14115" width="11.42578125" style="253" customWidth="1"/>
    <col min="14116" max="14116" width="14" style="253" customWidth="1"/>
    <col min="14117" max="14350" width="9.140625" style="253"/>
    <col min="14351" max="14351" width="21.140625" style="253" customWidth="1"/>
    <col min="14352" max="14352" width="17.7109375" style="253" customWidth="1"/>
    <col min="14353" max="14353" width="10.85546875" style="253" customWidth="1"/>
    <col min="14354" max="14365" width="0" style="253" hidden="1" customWidth="1"/>
    <col min="14366" max="14366" width="16" style="253" customWidth="1"/>
    <col min="14367" max="14367" width="9" style="253" customWidth="1"/>
    <col min="14368" max="14368" width="16.5703125" style="253" customWidth="1"/>
    <col min="14369" max="14369" width="10.42578125" style="253" customWidth="1"/>
    <col min="14370" max="14370" width="16" style="253" customWidth="1"/>
    <col min="14371" max="14371" width="11.42578125" style="253" customWidth="1"/>
    <col min="14372" max="14372" width="14" style="253" customWidth="1"/>
    <col min="14373" max="14606" width="9.140625" style="253"/>
    <col min="14607" max="14607" width="21.140625" style="253" customWidth="1"/>
    <col min="14608" max="14608" width="17.7109375" style="253" customWidth="1"/>
    <col min="14609" max="14609" width="10.85546875" style="253" customWidth="1"/>
    <col min="14610" max="14621" width="0" style="253" hidden="1" customWidth="1"/>
    <col min="14622" max="14622" width="16" style="253" customWidth="1"/>
    <col min="14623" max="14623" width="9" style="253" customWidth="1"/>
    <col min="14624" max="14624" width="16.5703125" style="253" customWidth="1"/>
    <col min="14625" max="14625" width="10.42578125" style="253" customWidth="1"/>
    <col min="14626" max="14626" width="16" style="253" customWidth="1"/>
    <col min="14627" max="14627" width="11.42578125" style="253" customWidth="1"/>
    <col min="14628" max="14628" width="14" style="253" customWidth="1"/>
    <col min="14629" max="14862" width="9.140625" style="253"/>
    <col min="14863" max="14863" width="21.140625" style="253" customWidth="1"/>
    <col min="14864" max="14864" width="17.7109375" style="253" customWidth="1"/>
    <col min="14865" max="14865" width="10.85546875" style="253" customWidth="1"/>
    <col min="14866" max="14877" width="0" style="253" hidden="1" customWidth="1"/>
    <col min="14878" max="14878" width="16" style="253" customWidth="1"/>
    <col min="14879" max="14879" width="9" style="253" customWidth="1"/>
    <col min="14880" max="14880" width="16.5703125" style="253" customWidth="1"/>
    <col min="14881" max="14881" width="10.42578125" style="253" customWidth="1"/>
    <col min="14882" max="14882" width="16" style="253" customWidth="1"/>
    <col min="14883" max="14883" width="11.42578125" style="253" customWidth="1"/>
    <col min="14884" max="14884" width="14" style="253" customWidth="1"/>
    <col min="14885" max="15118" width="9.140625" style="253"/>
    <col min="15119" max="15119" width="21.140625" style="253" customWidth="1"/>
    <col min="15120" max="15120" width="17.7109375" style="253" customWidth="1"/>
    <col min="15121" max="15121" width="10.85546875" style="253" customWidth="1"/>
    <col min="15122" max="15133" width="0" style="253" hidden="1" customWidth="1"/>
    <col min="15134" max="15134" width="16" style="253" customWidth="1"/>
    <col min="15135" max="15135" width="9" style="253" customWidth="1"/>
    <col min="15136" max="15136" width="16.5703125" style="253" customWidth="1"/>
    <col min="15137" max="15137" width="10.42578125" style="253" customWidth="1"/>
    <col min="15138" max="15138" width="16" style="253" customWidth="1"/>
    <col min="15139" max="15139" width="11.42578125" style="253" customWidth="1"/>
    <col min="15140" max="15140" width="14" style="253" customWidth="1"/>
    <col min="15141" max="15374" width="9.140625" style="253"/>
    <col min="15375" max="15375" width="21.140625" style="253" customWidth="1"/>
    <col min="15376" max="15376" width="17.7109375" style="253" customWidth="1"/>
    <col min="15377" max="15377" width="10.85546875" style="253" customWidth="1"/>
    <col min="15378" max="15389" width="0" style="253" hidden="1" customWidth="1"/>
    <col min="15390" max="15390" width="16" style="253" customWidth="1"/>
    <col min="15391" max="15391" width="9" style="253" customWidth="1"/>
    <col min="15392" max="15392" width="16.5703125" style="253" customWidth="1"/>
    <col min="15393" max="15393" width="10.42578125" style="253" customWidth="1"/>
    <col min="15394" max="15394" width="16" style="253" customWidth="1"/>
    <col min="15395" max="15395" width="11.42578125" style="253" customWidth="1"/>
    <col min="15396" max="15396" width="14" style="253" customWidth="1"/>
    <col min="15397" max="15630" width="9.140625" style="253"/>
    <col min="15631" max="15631" width="21.140625" style="253" customWidth="1"/>
    <col min="15632" max="15632" width="17.7109375" style="253" customWidth="1"/>
    <col min="15633" max="15633" width="10.85546875" style="253" customWidth="1"/>
    <col min="15634" max="15645" width="0" style="253" hidden="1" customWidth="1"/>
    <col min="15646" max="15646" width="16" style="253" customWidth="1"/>
    <col min="15647" max="15647" width="9" style="253" customWidth="1"/>
    <col min="15648" max="15648" width="16.5703125" style="253" customWidth="1"/>
    <col min="15649" max="15649" width="10.42578125" style="253" customWidth="1"/>
    <col min="15650" max="15650" width="16" style="253" customWidth="1"/>
    <col min="15651" max="15651" width="11.42578125" style="253" customWidth="1"/>
    <col min="15652" max="15652" width="14" style="253" customWidth="1"/>
    <col min="15653" max="15886" width="9.140625" style="253"/>
    <col min="15887" max="15887" width="21.140625" style="253" customWidth="1"/>
    <col min="15888" max="15888" width="17.7109375" style="253" customWidth="1"/>
    <col min="15889" max="15889" width="10.85546875" style="253" customWidth="1"/>
    <col min="15890" max="15901" width="0" style="253" hidden="1" customWidth="1"/>
    <col min="15902" max="15902" width="16" style="253" customWidth="1"/>
    <col min="15903" max="15903" width="9" style="253" customWidth="1"/>
    <col min="15904" max="15904" width="16.5703125" style="253" customWidth="1"/>
    <col min="15905" max="15905" width="10.42578125" style="253" customWidth="1"/>
    <col min="15906" max="15906" width="16" style="253" customWidth="1"/>
    <col min="15907" max="15907" width="11.42578125" style="253" customWidth="1"/>
    <col min="15908" max="15908" width="14" style="253" customWidth="1"/>
    <col min="15909" max="16142" width="9.140625" style="253"/>
    <col min="16143" max="16143" width="21.140625" style="253" customWidth="1"/>
    <col min="16144" max="16144" width="17.7109375" style="253" customWidth="1"/>
    <col min="16145" max="16145" width="10.85546875" style="253" customWidth="1"/>
    <col min="16146" max="16157" width="0" style="253" hidden="1" customWidth="1"/>
    <col min="16158" max="16158" width="16" style="253" customWidth="1"/>
    <col min="16159" max="16159" width="9" style="253" customWidth="1"/>
    <col min="16160" max="16160" width="16.5703125" style="253" customWidth="1"/>
    <col min="16161" max="16161" width="10.42578125" style="253" customWidth="1"/>
    <col min="16162" max="16162" width="16" style="253" customWidth="1"/>
    <col min="16163" max="16163" width="11.42578125" style="253" customWidth="1"/>
    <col min="16164" max="16164" width="14" style="253" customWidth="1"/>
    <col min="16165" max="16384" width="9.140625" style="253"/>
  </cols>
  <sheetData>
    <row r="1" spans="1:36" x14ac:dyDescent="0.3">
      <c r="A1" s="2548"/>
      <c r="B1" s="2548"/>
      <c r="C1" s="2548"/>
      <c r="D1" s="2548"/>
      <c r="E1" s="2548"/>
      <c r="F1" s="2548"/>
      <c r="G1" s="2548"/>
      <c r="H1" s="2548"/>
      <c r="I1" s="2548"/>
      <c r="J1" s="2548"/>
      <c r="K1" s="2548"/>
      <c r="L1" s="2548"/>
      <c r="M1" s="2548"/>
      <c r="N1" s="2548"/>
      <c r="O1" s="2548"/>
      <c r="P1" s="2548"/>
      <c r="Q1" s="2548"/>
      <c r="R1" s="2548"/>
      <c r="S1" s="2548"/>
      <c r="T1" s="2548"/>
      <c r="U1" s="2548"/>
      <c r="V1" s="2548"/>
      <c r="W1" s="2548"/>
      <c r="X1" s="2548"/>
      <c r="Y1" s="2548"/>
      <c r="Z1" s="2548"/>
      <c r="AA1" s="2548"/>
      <c r="AB1" s="2548"/>
      <c r="AC1" s="2548"/>
      <c r="AD1" s="2548"/>
      <c r="AE1" s="2548"/>
      <c r="AF1" s="2548"/>
      <c r="AG1" s="2548"/>
      <c r="AH1" s="2548"/>
      <c r="AI1" s="2548"/>
      <c r="AJ1" s="2548"/>
    </row>
    <row r="2" spans="1:36" ht="42" customHeight="1" thickBot="1" x14ac:dyDescent="0.35">
      <c r="A2" s="2549" t="s">
        <v>660</v>
      </c>
      <c r="B2" s="2549"/>
      <c r="C2" s="2550"/>
      <c r="D2" s="2550"/>
      <c r="E2" s="2550"/>
      <c r="F2" s="2550"/>
      <c r="G2" s="2550"/>
      <c r="H2" s="2550"/>
      <c r="I2" s="2550"/>
      <c r="J2" s="2550"/>
      <c r="K2" s="2550"/>
      <c r="L2" s="2550"/>
      <c r="M2" s="2550"/>
      <c r="N2" s="2550"/>
      <c r="O2" s="2550"/>
      <c r="P2" s="2550"/>
      <c r="Q2" s="2550"/>
      <c r="R2" s="2550"/>
      <c r="S2" s="2550"/>
      <c r="T2" s="2550"/>
      <c r="U2" s="2550"/>
      <c r="V2" s="2550"/>
      <c r="W2" s="2550"/>
      <c r="X2" s="2550"/>
      <c r="Y2" s="2550"/>
      <c r="Z2" s="2550"/>
      <c r="AA2" s="2550"/>
      <c r="AB2" s="2550"/>
      <c r="AC2" s="2550"/>
      <c r="AD2" s="2550"/>
      <c r="AE2" s="2550"/>
      <c r="AF2" s="2550"/>
      <c r="AG2" s="2550"/>
      <c r="AH2" s="2550"/>
      <c r="AI2" s="2550"/>
    </row>
    <row r="3" spans="1:36" ht="97.5" customHeight="1" thickBot="1" x14ac:dyDescent="0.35">
      <c r="B3" s="1322" t="s">
        <v>653</v>
      </c>
      <c r="C3" s="255" t="s">
        <v>654</v>
      </c>
      <c r="D3" s="1393" t="s">
        <v>652</v>
      </c>
      <c r="E3" s="1389" t="s">
        <v>661</v>
      </c>
      <c r="F3" s="1390" t="s">
        <v>662</v>
      </c>
      <c r="G3" s="1391" t="s">
        <v>663</v>
      </c>
      <c r="H3" s="1391" t="s">
        <v>664</v>
      </c>
      <c r="I3" s="1391" t="s">
        <v>665</v>
      </c>
      <c r="J3" s="1390" t="s">
        <v>666</v>
      </c>
      <c r="K3" s="1391" t="s">
        <v>667</v>
      </c>
      <c r="L3" s="1391" t="s">
        <v>668</v>
      </c>
      <c r="M3" s="1391" t="s">
        <v>669</v>
      </c>
      <c r="N3" s="1391" t="s">
        <v>670</v>
      </c>
      <c r="O3" s="1391" t="s">
        <v>562</v>
      </c>
      <c r="P3" s="1392" t="s">
        <v>671</v>
      </c>
      <c r="Q3" s="255" t="s">
        <v>672</v>
      </c>
      <c r="R3" s="255" t="s">
        <v>287</v>
      </c>
      <c r="S3" s="258" t="s">
        <v>306</v>
      </c>
      <c r="T3" s="318" t="s">
        <v>307</v>
      </c>
      <c r="U3" s="313" t="s">
        <v>308</v>
      </c>
      <c r="V3" s="313" t="s">
        <v>309</v>
      </c>
      <c r="W3" s="313" t="s">
        <v>310</v>
      </c>
      <c r="X3" s="313" t="s">
        <v>311</v>
      </c>
      <c r="Y3" s="313" t="s">
        <v>312</v>
      </c>
      <c r="Z3" s="313" t="s">
        <v>313</v>
      </c>
      <c r="AA3" s="313" t="s">
        <v>314</v>
      </c>
      <c r="AB3" s="313" t="s">
        <v>315</v>
      </c>
      <c r="AC3" s="313" t="s">
        <v>316</v>
      </c>
      <c r="AD3" s="313" t="s">
        <v>317</v>
      </c>
      <c r="AE3" s="319" t="s">
        <v>318</v>
      </c>
      <c r="AF3" s="258" t="s">
        <v>674</v>
      </c>
      <c r="AG3" s="257" t="s">
        <v>288</v>
      </c>
      <c r="AH3" s="258" t="s">
        <v>675</v>
      </c>
      <c r="AI3" s="259" t="s">
        <v>676</v>
      </c>
    </row>
    <row r="4" spans="1:36" ht="21" hidden="1" customHeight="1" thickBot="1" x14ac:dyDescent="0.35">
      <c r="A4" s="260"/>
      <c r="B4" s="1323"/>
      <c r="C4" s="303"/>
      <c r="D4" s="1394"/>
      <c r="E4" s="305"/>
      <c r="F4" s="306"/>
      <c r="G4" s="1365"/>
      <c r="H4" s="1365"/>
      <c r="I4" s="1365"/>
      <c r="J4" s="306"/>
      <c r="K4" s="1365"/>
      <c r="L4" s="1365"/>
      <c r="M4" s="1365"/>
      <c r="N4" s="1365"/>
      <c r="O4" s="1365"/>
      <c r="P4" s="1366"/>
      <c r="Q4" s="303"/>
      <c r="R4" s="303"/>
      <c r="S4" s="308"/>
      <c r="T4" s="320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12"/>
      <c r="AF4" s="308"/>
      <c r="AG4" s="309"/>
      <c r="AH4" s="308"/>
    </row>
    <row r="5" spans="1:36" x14ac:dyDescent="0.3">
      <c r="A5" s="262" t="s">
        <v>290</v>
      </c>
      <c r="B5" s="1324">
        <v>822557.95833333326</v>
      </c>
      <c r="C5" s="1317">
        <v>889278.85</v>
      </c>
      <c r="D5" s="1383">
        <f>F5*G5*H5*I5*J5*K5*L5*M5*N5*O5*P5</f>
        <v>1.0942039123902663</v>
      </c>
      <c r="E5" s="1384"/>
      <c r="F5" s="1367">
        <f>94.4494/100</f>
        <v>0.94449399999999994</v>
      </c>
      <c r="G5" s="1367">
        <f>100.3966/100</f>
        <v>1.0039660000000001</v>
      </c>
      <c r="H5" s="1367">
        <f>101.904/100</f>
        <v>1.0190399999999999</v>
      </c>
      <c r="I5" s="1367">
        <f>100.6988/100</f>
        <v>1.006988</v>
      </c>
      <c r="J5" s="1367">
        <f>103.2131/100</f>
        <v>1.0321309999999999</v>
      </c>
      <c r="K5" s="1367">
        <f>100.8254/100</f>
        <v>1.008254</v>
      </c>
      <c r="L5" s="1367">
        <f t="shared" ref="L5:M7" si="0">103.1121/100</f>
        <v>1.031121</v>
      </c>
      <c r="M5" s="1367">
        <f t="shared" si="0"/>
        <v>1.031121</v>
      </c>
      <c r="N5" s="1367">
        <f>99.2316/100</f>
        <v>0.99231599999999998</v>
      </c>
      <c r="O5" s="1367">
        <f>102.299/100</f>
        <v>1.0229900000000001</v>
      </c>
      <c r="P5" s="1368">
        <f>100.1196/100</f>
        <v>1.001196</v>
      </c>
      <c r="Q5" s="264">
        <f>C5*D5</f>
        <v>973052.39687591675</v>
      </c>
      <c r="R5" s="265">
        <v>0.06</v>
      </c>
      <c r="S5" s="850">
        <f>T5</f>
        <v>0</v>
      </c>
      <c r="T5" s="329"/>
      <c r="U5" s="636"/>
      <c r="V5" s="636"/>
      <c r="W5" s="314"/>
      <c r="X5" s="314"/>
      <c r="Y5" s="314"/>
      <c r="Z5" s="314"/>
      <c r="AA5" s="314"/>
      <c r="AB5" s="314"/>
      <c r="AC5" s="314"/>
      <c r="AD5" s="314"/>
      <c r="AE5" s="321"/>
      <c r="AF5" s="295">
        <f>Q5+Q5*R5</f>
        <v>1031435.5406884718</v>
      </c>
      <c r="AG5" s="265">
        <f>AH5/AF5</f>
        <v>1.04</v>
      </c>
      <c r="AH5" s="266">
        <f>AH8/AF8*AF5</f>
        <v>1072692.9623160106</v>
      </c>
      <c r="AI5" s="280">
        <f t="shared" ref="AI5:AI20" si="1">AH5/C5</f>
        <v>1.2062503930190296</v>
      </c>
    </row>
    <row r="6" spans="1:36" x14ac:dyDescent="0.3">
      <c r="A6" s="267" t="s">
        <v>291</v>
      </c>
      <c r="B6" s="1325">
        <v>1010175.5499999999</v>
      </c>
      <c r="C6" s="1318">
        <v>1027166.0799999998</v>
      </c>
      <c r="D6" s="1385">
        <f>G6*H6*I6*J6*K6*L6*M6*N6*O6*P6</f>
        <v>1.1585080608137965</v>
      </c>
      <c r="E6" s="1386"/>
      <c r="F6" s="1369"/>
      <c r="G6" s="1369">
        <f>100.3966/100</f>
        <v>1.0039660000000001</v>
      </c>
      <c r="H6" s="1369">
        <f>101.904/100</f>
        <v>1.0190399999999999</v>
      </c>
      <c r="I6" s="1369">
        <f>100.6988/100</f>
        <v>1.006988</v>
      </c>
      <c r="J6" s="1369">
        <f>103.2131/100</f>
        <v>1.0321309999999999</v>
      </c>
      <c r="K6" s="1369">
        <f>100.8254/100</f>
        <v>1.008254</v>
      </c>
      <c r="L6" s="1369">
        <f t="shared" si="0"/>
        <v>1.031121</v>
      </c>
      <c r="M6" s="1369">
        <f t="shared" si="0"/>
        <v>1.031121</v>
      </c>
      <c r="N6" s="1369">
        <f>99.2316/100</f>
        <v>0.99231599999999998</v>
      </c>
      <c r="O6" s="1369">
        <f>102.299/100</f>
        <v>1.0229900000000001</v>
      </c>
      <c r="P6" s="1370">
        <f>100.1196/100</f>
        <v>1.001196</v>
      </c>
      <c r="Q6" s="269">
        <f>C6*D6</f>
        <v>1189980.1834745088</v>
      </c>
      <c r="R6" s="270">
        <v>0.06</v>
      </c>
      <c r="S6" s="851">
        <f>T6*U6</f>
        <v>0</v>
      </c>
      <c r="T6" s="330"/>
      <c r="U6" s="331"/>
      <c r="V6" s="637"/>
      <c r="W6" s="315"/>
      <c r="X6" s="315"/>
      <c r="Y6" s="315"/>
      <c r="Z6" s="315"/>
      <c r="AA6" s="315"/>
      <c r="AB6" s="315"/>
      <c r="AC6" s="315"/>
      <c r="AD6" s="315"/>
      <c r="AE6" s="322"/>
      <c r="AF6" s="296">
        <f>Q6+Q6*R6</f>
        <v>1261378.9944829794</v>
      </c>
      <c r="AG6" s="270">
        <f>AH6/AF6</f>
        <v>1.04</v>
      </c>
      <c r="AH6" s="271">
        <f>AH8/AF8*AF6</f>
        <v>1311834.1542622987</v>
      </c>
      <c r="AI6" s="280">
        <f t="shared" si="1"/>
        <v>1.2771392862411295</v>
      </c>
    </row>
    <row r="7" spans="1:36" ht="19.5" thickBot="1" x14ac:dyDescent="0.35">
      <c r="A7" s="267" t="s">
        <v>292</v>
      </c>
      <c r="B7" s="1326">
        <v>1247351.5333333332</v>
      </c>
      <c r="C7" s="1319">
        <v>1712414.51</v>
      </c>
      <c r="D7" s="1387">
        <f>H7*I7*J7*K7*L7*M7*N7*O7*P7</f>
        <v>1.1539315682142586</v>
      </c>
      <c r="E7" s="1388"/>
      <c r="F7" s="1371"/>
      <c r="G7" s="1371"/>
      <c r="H7" s="1371">
        <f>101.904/100</f>
        <v>1.0190399999999999</v>
      </c>
      <c r="I7" s="1371">
        <f>100.6988/100</f>
        <v>1.006988</v>
      </c>
      <c r="J7" s="1371">
        <f>103.2131/100</f>
        <v>1.0321309999999999</v>
      </c>
      <c r="K7" s="1371">
        <f>100.8254/100</f>
        <v>1.008254</v>
      </c>
      <c r="L7" s="1371">
        <f t="shared" si="0"/>
        <v>1.031121</v>
      </c>
      <c r="M7" s="1371">
        <f t="shared" si="0"/>
        <v>1.031121</v>
      </c>
      <c r="N7" s="1371">
        <f>99.2316/100</f>
        <v>0.99231599999999998</v>
      </c>
      <c r="O7" s="1371">
        <f>102.299/100</f>
        <v>1.0229900000000001</v>
      </c>
      <c r="P7" s="1372">
        <f>100.1196/100</f>
        <v>1.001196</v>
      </c>
      <c r="Q7" s="299">
        <f>C7*D7</f>
        <v>1976009.1609571511</v>
      </c>
      <c r="R7" s="301">
        <v>0.06</v>
      </c>
      <c r="S7" s="852">
        <f>T7*U7*V7</f>
        <v>0</v>
      </c>
      <c r="T7" s="330"/>
      <c r="U7" s="331"/>
      <c r="V7" s="333"/>
      <c r="W7" s="316"/>
      <c r="X7" s="316"/>
      <c r="Y7" s="316"/>
      <c r="Z7" s="316"/>
      <c r="AA7" s="316"/>
      <c r="AB7" s="316"/>
      <c r="AC7" s="316"/>
      <c r="AD7" s="316"/>
      <c r="AE7" s="323"/>
      <c r="AF7" s="300">
        <f>Q7+Q7*R7</f>
        <v>2094569.7106145802</v>
      </c>
      <c r="AG7" s="301">
        <f>AH7/AF7</f>
        <v>1.04</v>
      </c>
      <c r="AH7" s="302">
        <f>AH8/AF8*AF7</f>
        <v>2178352.4990391633</v>
      </c>
      <c r="AI7" s="280">
        <f t="shared" si="1"/>
        <v>1.2720941607993985</v>
      </c>
    </row>
    <row r="8" spans="1:36" s="281" customFormat="1" ht="27" customHeight="1" thickBot="1" x14ac:dyDescent="0.25">
      <c r="A8" s="272" t="s">
        <v>293</v>
      </c>
      <c r="B8" s="1327">
        <f>SUM(B5:B7)</f>
        <v>3080085.0416666665</v>
      </c>
      <c r="C8" s="1320">
        <f>SUM(C5:C7)</f>
        <v>3628859.4399999995</v>
      </c>
      <c r="D8" s="1395">
        <f>Q8/C8</f>
        <v>1.1405902625171884</v>
      </c>
      <c r="E8" s="275"/>
      <c r="F8" s="276"/>
      <c r="G8" s="1373"/>
      <c r="H8" s="1373"/>
      <c r="I8" s="1373"/>
      <c r="J8" s="1373"/>
      <c r="K8" s="1373"/>
      <c r="L8" s="1373"/>
      <c r="M8" s="1373"/>
      <c r="N8" s="1373"/>
      <c r="O8" s="1373"/>
      <c r="P8" s="1374"/>
      <c r="Q8" s="277">
        <f>SUM(Q5:Q7)</f>
        <v>4139041.7413075767</v>
      </c>
      <c r="R8" s="1400">
        <f>AF8/Q8-100%</f>
        <v>6.0000000000000053E-2</v>
      </c>
      <c r="S8" s="849"/>
      <c r="T8" s="324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25"/>
      <c r="AF8" s="297">
        <f>SUM(AF5:AF7)</f>
        <v>4387384.2457860317</v>
      </c>
      <c r="AG8" s="278">
        <v>1.04</v>
      </c>
      <c r="AH8" s="279">
        <f>AF8*AG8</f>
        <v>4562879.6156174727</v>
      </c>
      <c r="AI8" s="340">
        <f t="shared" si="1"/>
        <v>1.2573867053989485</v>
      </c>
      <c r="AJ8" s="282"/>
    </row>
    <row r="9" spans="1:36" x14ac:dyDescent="0.3">
      <c r="A9" s="267" t="s">
        <v>294</v>
      </c>
      <c r="B9" s="1324">
        <v>1195806.3333333335</v>
      </c>
      <c r="C9" s="1317">
        <v>1389919.9559999998</v>
      </c>
      <c r="D9" s="1383">
        <f>I9*J9*K9*L9*M9*N9*O9*P9</f>
        <v>1.132371220181994</v>
      </c>
      <c r="E9" s="1384"/>
      <c r="F9" s="1367"/>
      <c r="G9" s="1367"/>
      <c r="H9" s="1367"/>
      <c r="I9" s="1367">
        <f>100.6988/100</f>
        <v>1.006988</v>
      </c>
      <c r="J9" s="1367">
        <f>103.2131/100</f>
        <v>1.0321309999999999</v>
      </c>
      <c r="K9" s="1367">
        <f>100.8254/100</f>
        <v>1.008254</v>
      </c>
      <c r="L9" s="1367">
        <f t="shared" ref="L9:M11" si="2">103.1121/100</f>
        <v>1.031121</v>
      </c>
      <c r="M9" s="1367">
        <f t="shared" si="2"/>
        <v>1.031121</v>
      </c>
      <c r="N9" s="1367">
        <f>99.2316/100</f>
        <v>0.99231599999999998</v>
      </c>
      <c r="O9" s="1367">
        <f>102.299/100</f>
        <v>1.0229900000000001</v>
      </c>
      <c r="P9" s="1368">
        <f>100.1196/100</f>
        <v>1.001196</v>
      </c>
      <c r="Q9" s="264">
        <f>C9*D9</f>
        <v>1573905.356531023</v>
      </c>
      <c r="R9" s="265">
        <v>0.06</v>
      </c>
      <c r="S9" s="850">
        <f>T9*U9*V9*W9</f>
        <v>0</v>
      </c>
      <c r="T9" s="329"/>
      <c r="U9" s="334"/>
      <c r="V9" s="334"/>
      <c r="W9" s="334"/>
      <c r="X9" s="314"/>
      <c r="Y9" s="314"/>
      <c r="Z9" s="314"/>
      <c r="AA9" s="314"/>
      <c r="AB9" s="314"/>
      <c r="AC9" s="314"/>
      <c r="AD9" s="314"/>
      <c r="AE9" s="321"/>
      <c r="AF9" s="295">
        <f>Q9+Q9*R9</f>
        <v>1668339.6779228845</v>
      </c>
      <c r="AG9" s="265">
        <f>AH9/AF9</f>
        <v>1.0577789469243906</v>
      </c>
      <c r="AH9" s="266">
        <f>(AH12-AH8)/(AF12-AF8)*AF9</f>
        <v>1764734.5876254456</v>
      </c>
      <c r="AI9" s="280">
        <f t="shared" si="1"/>
        <v>1.2696663430202926</v>
      </c>
    </row>
    <row r="10" spans="1:36" x14ac:dyDescent="0.3">
      <c r="A10" s="267" t="s">
        <v>295</v>
      </c>
      <c r="B10" s="1325">
        <v>1205642.3916666666</v>
      </c>
      <c r="C10" s="1318">
        <v>1587472.2399999998</v>
      </c>
      <c r="D10" s="1385">
        <f>J10*K10*L10*M10*N10*O10*P10</f>
        <v>1.1245131224820888</v>
      </c>
      <c r="E10" s="1386"/>
      <c r="F10" s="1369"/>
      <c r="G10" s="1369"/>
      <c r="H10" s="1369"/>
      <c r="I10" s="1369"/>
      <c r="J10" s="1369">
        <f>103.2131/100</f>
        <v>1.0321309999999999</v>
      </c>
      <c r="K10" s="1369">
        <f>100.8254/100</f>
        <v>1.008254</v>
      </c>
      <c r="L10" s="1369">
        <f t="shared" si="2"/>
        <v>1.031121</v>
      </c>
      <c r="M10" s="1369">
        <f t="shared" si="2"/>
        <v>1.031121</v>
      </c>
      <c r="N10" s="1369">
        <f>99.2316/100</f>
        <v>0.99231599999999998</v>
      </c>
      <c r="O10" s="1369">
        <f>102.299/100</f>
        <v>1.0229900000000001</v>
      </c>
      <c r="P10" s="1370">
        <f>100.1196/100</f>
        <v>1.001196</v>
      </c>
      <c r="Q10" s="269">
        <f>C10*D10</f>
        <v>1785133.3654560356</v>
      </c>
      <c r="R10" s="270">
        <v>0.06</v>
      </c>
      <c r="S10" s="851">
        <f>T10*U10*V10*W10*X10</f>
        <v>0</v>
      </c>
      <c r="T10" s="330"/>
      <c r="U10" s="331"/>
      <c r="V10" s="331"/>
      <c r="W10" s="331"/>
      <c r="X10" s="331"/>
      <c r="Y10" s="315"/>
      <c r="Z10" s="315"/>
      <c r="AA10" s="315"/>
      <c r="AB10" s="315"/>
      <c r="AC10" s="315"/>
      <c r="AD10" s="315"/>
      <c r="AE10" s="322"/>
      <c r="AF10" s="296">
        <f>Q10+Q10*R10</f>
        <v>1892241.3673833976</v>
      </c>
      <c r="AG10" s="270">
        <f>AH10/AF10</f>
        <v>1.0577789469243906</v>
      </c>
      <c r="AH10" s="271">
        <f>(AH12-AH8)/(AF12-AF8)*AF10</f>
        <v>2001573.0809175791</v>
      </c>
      <c r="AI10" s="280">
        <f t="shared" si="1"/>
        <v>1.2608554848918678</v>
      </c>
    </row>
    <row r="11" spans="1:36" ht="19.5" thickBot="1" x14ac:dyDescent="0.35">
      <c r="A11" s="267" t="s">
        <v>296</v>
      </c>
      <c r="B11" s="1326">
        <v>1796052.1266666667</v>
      </c>
      <c r="C11" s="1319">
        <v>1800619.9100000001</v>
      </c>
      <c r="D11" s="1387">
        <f>K11*L11*M11*N11*O11*P11</f>
        <v>1.0895061988081831</v>
      </c>
      <c r="E11" s="1388"/>
      <c r="F11" s="1371"/>
      <c r="G11" s="1371"/>
      <c r="H11" s="1371"/>
      <c r="I11" s="1371"/>
      <c r="J11" s="1371"/>
      <c r="K11" s="1371">
        <f>100.8254/100</f>
        <v>1.008254</v>
      </c>
      <c r="L11" s="1371">
        <f t="shared" si="2"/>
        <v>1.031121</v>
      </c>
      <c r="M11" s="1371">
        <f t="shared" si="2"/>
        <v>1.031121</v>
      </c>
      <c r="N11" s="1371">
        <f>99.2316/100</f>
        <v>0.99231599999999998</v>
      </c>
      <c r="O11" s="1371">
        <f>102.299/100</f>
        <v>1.0229900000000001</v>
      </c>
      <c r="P11" s="1372">
        <f>100.1196/100</f>
        <v>1.001196</v>
      </c>
      <c r="Q11" s="299">
        <f>C11*D11</f>
        <v>1961786.5536424329</v>
      </c>
      <c r="R11" s="301">
        <v>0.06</v>
      </c>
      <c r="S11" s="1399">
        <f>T11*U11*V11*W11*X11*Y11</f>
        <v>0</v>
      </c>
      <c r="T11" s="332"/>
      <c r="U11" s="333"/>
      <c r="V11" s="333"/>
      <c r="W11" s="333"/>
      <c r="X11" s="333"/>
      <c r="Y11" s="333"/>
      <c r="Z11" s="316"/>
      <c r="AA11" s="316"/>
      <c r="AB11" s="316"/>
      <c r="AC11" s="316"/>
      <c r="AD11" s="316"/>
      <c r="AE11" s="323"/>
      <c r="AF11" s="300">
        <f>Q11+Q11*R11</f>
        <v>2079493.7468609789</v>
      </c>
      <c r="AG11" s="301">
        <f>AH11/AF11</f>
        <v>1.0577789469243906</v>
      </c>
      <c r="AH11" s="302">
        <f>(AH12-AH8)/(AF12-AF8)*AF11</f>
        <v>2199644.7056904617</v>
      </c>
      <c r="AI11" s="280">
        <f t="shared" si="1"/>
        <v>1.2216041228214907</v>
      </c>
    </row>
    <row r="12" spans="1:36" s="281" customFormat="1" ht="29.25" customHeight="1" thickBot="1" x14ac:dyDescent="0.25">
      <c r="A12" s="272" t="s">
        <v>297</v>
      </c>
      <c r="B12" s="1327">
        <f>SUM(B9:B11)+B8</f>
        <v>7277585.8933333326</v>
      </c>
      <c r="C12" s="1320">
        <f>SUM(C9:C11)+C8</f>
        <v>8406871.5460000001</v>
      </c>
      <c r="D12" s="1395">
        <f>Q12/C12</f>
        <v>1.1252541406366658</v>
      </c>
      <c r="E12" s="275"/>
      <c r="F12" s="276"/>
      <c r="G12" s="1373"/>
      <c r="H12" s="1373"/>
      <c r="I12" s="1373"/>
      <c r="J12" s="276"/>
      <c r="K12" s="1373"/>
      <c r="L12" s="1373"/>
      <c r="M12" s="1373"/>
      <c r="N12" s="1373"/>
      <c r="O12" s="1373"/>
      <c r="P12" s="1374"/>
      <c r="Q12" s="277">
        <f>SUM(Q9:Q11)+Q8</f>
        <v>9459867.0169370677</v>
      </c>
      <c r="R12" s="1400">
        <f>AF12/Q12-100%</f>
        <v>6.0000000000000053E-2</v>
      </c>
      <c r="S12" s="849"/>
      <c r="T12" s="324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25"/>
      <c r="AF12" s="297">
        <f>SUM(AF9:AF11)+AF8</f>
        <v>10027459.037953293</v>
      </c>
      <c r="AG12" s="278">
        <v>1.05</v>
      </c>
      <c r="AH12" s="279">
        <f>AF12*AG12</f>
        <v>10528831.989850959</v>
      </c>
      <c r="AI12" s="340">
        <f t="shared" si="1"/>
        <v>1.2524078585286094</v>
      </c>
      <c r="AJ12" s="282"/>
    </row>
    <row r="13" spans="1:36" x14ac:dyDescent="0.3">
      <c r="A13" s="267" t="s">
        <v>298</v>
      </c>
      <c r="B13" s="1324">
        <v>1962260.3557903334</v>
      </c>
      <c r="C13" s="1321">
        <v>932840.64999999991</v>
      </c>
      <c r="D13" s="1383">
        <f>L13*M13*N13*O13*P13</f>
        <v>1.0805870334342174</v>
      </c>
      <c r="E13" s="1384"/>
      <c r="F13" s="1367"/>
      <c r="G13" s="1367"/>
      <c r="H13" s="1367"/>
      <c r="I13" s="1367"/>
      <c r="J13" s="1367"/>
      <c r="K13" s="1367"/>
      <c r="L13" s="1367">
        <f>103.1121/100</f>
        <v>1.031121</v>
      </c>
      <c r="M13" s="1367">
        <f>103.1121/100</f>
        <v>1.031121</v>
      </c>
      <c r="N13" s="1367">
        <f>99.2316/100</f>
        <v>0.99231599999999998</v>
      </c>
      <c r="O13" s="1367">
        <f>102.299/100</f>
        <v>1.0229900000000001</v>
      </c>
      <c r="P13" s="1368">
        <f>100.1196/100</f>
        <v>1.001196</v>
      </c>
      <c r="Q13" s="264">
        <f>C13*D13</f>
        <v>1008015.510650347</v>
      </c>
      <c r="R13" s="265">
        <v>0.06</v>
      </c>
      <c r="S13" s="850">
        <f>T13*U13*V13*W13*X13*Y13*Z13</f>
        <v>0</v>
      </c>
      <c r="T13" s="329"/>
      <c r="U13" s="334"/>
      <c r="V13" s="334"/>
      <c r="W13" s="334"/>
      <c r="X13" s="334"/>
      <c r="Y13" s="334"/>
      <c r="Z13" s="334"/>
      <c r="AA13" s="314"/>
      <c r="AB13" s="314"/>
      <c r="AC13" s="314"/>
      <c r="AD13" s="314"/>
      <c r="AE13" s="321"/>
      <c r="AF13" s="295">
        <f>Q13+Q13*R13</f>
        <v>1068496.4412893679</v>
      </c>
      <c r="AG13" s="265">
        <f>AH13/AF13</f>
        <v>1.0947351160959862</v>
      </c>
      <c r="AH13" s="266">
        <f>(AH16-AH12)/(AF16-AF12)*AF13</f>
        <v>1169720.5757030642</v>
      </c>
      <c r="AI13" s="280">
        <f t="shared" si="1"/>
        <v>1.2539339657883308</v>
      </c>
    </row>
    <row r="14" spans="1:36" x14ac:dyDescent="0.3">
      <c r="A14" s="267" t="s">
        <v>299</v>
      </c>
      <c r="B14" s="1325">
        <v>3172612.3379006251</v>
      </c>
      <c r="C14" s="1318">
        <v>1294911.5919999999</v>
      </c>
      <c r="D14" s="1385">
        <f>M14*N14*O14*P14</f>
        <v>1.0479730637182418</v>
      </c>
      <c r="E14" s="1386"/>
      <c r="F14" s="1369"/>
      <c r="G14" s="1369"/>
      <c r="H14" s="1369"/>
      <c r="I14" s="1369"/>
      <c r="J14" s="1369"/>
      <c r="K14" s="1369"/>
      <c r="L14" s="1369"/>
      <c r="M14" s="1369">
        <f>103.1121/100</f>
        <v>1.031121</v>
      </c>
      <c r="N14" s="1369">
        <f>99.2316/100</f>
        <v>0.99231599999999998</v>
      </c>
      <c r="O14" s="1369">
        <f>102.299/100</f>
        <v>1.0229900000000001</v>
      </c>
      <c r="P14" s="1370">
        <f>100.1196/100</f>
        <v>1.001196</v>
      </c>
      <c r="Q14" s="269">
        <f>C14*D14</f>
        <v>1357032.4683125059</v>
      </c>
      <c r="R14" s="270">
        <v>0.06</v>
      </c>
      <c r="S14" s="851">
        <f>T14*U14*V14*W14*X14*Y14*Z14*AA14</f>
        <v>0</v>
      </c>
      <c r="T14" s="330"/>
      <c r="U14" s="331"/>
      <c r="V14" s="331"/>
      <c r="W14" s="331"/>
      <c r="X14" s="331"/>
      <c r="Y14" s="331"/>
      <c r="Z14" s="331"/>
      <c r="AA14" s="331"/>
      <c r="AB14" s="315"/>
      <c r="AC14" s="315"/>
      <c r="AD14" s="315"/>
      <c r="AE14" s="322"/>
      <c r="AF14" s="296">
        <f>Q14+Q14*R14</f>
        <v>1438454.4164112562</v>
      </c>
      <c r="AG14" s="270">
        <f>AH14/AF14</f>
        <v>1.0947351160959862</v>
      </c>
      <c r="AH14" s="271">
        <f>(AH16-AH12)/(AF16-AF12)*AF14</f>
        <v>1574726.5625487606</v>
      </c>
      <c r="AI14" s="280">
        <f t="shared" si="1"/>
        <v>1.2160880883895591</v>
      </c>
    </row>
    <row r="15" spans="1:36" ht="19.5" thickBot="1" x14ac:dyDescent="0.35">
      <c r="A15" s="267" t="s">
        <v>300</v>
      </c>
      <c r="B15" s="1326">
        <v>1469638.666411917</v>
      </c>
      <c r="C15" s="1319">
        <v>5198920.6000000006</v>
      </c>
      <c r="D15" s="1387">
        <f>N15*O15*P15</f>
        <v>1.0163434395364286</v>
      </c>
      <c r="E15" s="1388"/>
      <c r="F15" s="1371"/>
      <c r="G15" s="1371"/>
      <c r="H15" s="1371"/>
      <c r="I15" s="1371"/>
      <c r="J15" s="1371"/>
      <c r="K15" s="1371"/>
      <c r="L15" s="1371"/>
      <c r="M15" s="1371"/>
      <c r="N15" s="1371">
        <f>99.2316/100</f>
        <v>0.99231599999999998</v>
      </c>
      <c r="O15" s="1371">
        <f>102.299/100</f>
        <v>1.0229900000000001</v>
      </c>
      <c r="P15" s="1372">
        <f>100.1196/100</f>
        <v>1.001196</v>
      </c>
      <c r="Q15" s="299">
        <f>C15*D15</f>
        <v>5283888.8444807939</v>
      </c>
      <c r="R15" s="301">
        <v>0.06</v>
      </c>
      <c r="S15" s="852">
        <f>T15*U15*V15*W15*X15*Y15*Z15*AA15*AB15</f>
        <v>0</v>
      </c>
      <c r="T15" s="332"/>
      <c r="U15" s="333"/>
      <c r="V15" s="333"/>
      <c r="W15" s="333"/>
      <c r="X15" s="333"/>
      <c r="Y15" s="333"/>
      <c r="Z15" s="333"/>
      <c r="AA15" s="333"/>
      <c r="AB15" s="333"/>
      <c r="AC15" s="316"/>
      <c r="AD15" s="316"/>
      <c r="AE15" s="323"/>
      <c r="AF15" s="300">
        <f>Q15+Q15*R15</f>
        <v>5600922.1751496419</v>
      </c>
      <c r="AG15" s="301">
        <f>AH15/AF15</f>
        <v>1.0947351160959862</v>
      </c>
      <c r="AH15" s="302">
        <f>(AH16-AH12)/(AF16-AF12)*AF15</f>
        <v>6131526.1876570266</v>
      </c>
      <c r="AI15" s="280">
        <f t="shared" si="1"/>
        <v>1.1793844644707645</v>
      </c>
    </row>
    <row r="16" spans="1:36" s="281" customFormat="1" ht="27" customHeight="1" thickBot="1" x14ac:dyDescent="0.25">
      <c r="A16" s="272" t="s">
        <v>301</v>
      </c>
      <c r="B16" s="1327">
        <f>SUM(B13:B15)+B12</f>
        <v>13882097.253436208</v>
      </c>
      <c r="C16" s="1320">
        <f>SUM(C13:C15)+C12</f>
        <v>15833544.388</v>
      </c>
      <c r="D16" s="1395">
        <f>Q16/C16</f>
        <v>1.0805416286543659</v>
      </c>
      <c r="E16" s="275"/>
      <c r="F16" s="276"/>
      <c r="G16" s="1373"/>
      <c r="H16" s="1373"/>
      <c r="I16" s="1373"/>
      <c r="J16" s="276"/>
      <c r="K16" s="1373"/>
      <c r="L16" s="1373"/>
      <c r="M16" s="1373"/>
      <c r="N16" s="1373"/>
      <c r="O16" s="1373"/>
      <c r="P16" s="1374"/>
      <c r="Q16" s="277">
        <f>SUM(Q13:Q15)+Q12</f>
        <v>17108803.840380713</v>
      </c>
      <c r="R16" s="1400">
        <f>AF16/Q16-100%</f>
        <v>6.0000000000000275E-2</v>
      </c>
      <c r="S16" s="849"/>
      <c r="T16" s="324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25"/>
      <c r="AF16" s="297">
        <f>SUM(AF13:AF15)+AF12</f>
        <v>18135332.07080356</v>
      </c>
      <c r="AG16" s="278">
        <v>1.07</v>
      </c>
      <c r="AH16" s="279">
        <f>AF16*AG16</f>
        <v>19404805.315759812</v>
      </c>
      <c r="AI16" s="340">
        <f t="shared" si="1"/>
        <v>1.225550315219782</v>
      </c>
      <c r="AJ16" s="282"/>
    </row>
    <row r="17" spans="1:36" x14ac:dyDescent="0.3">
      <c r="A17" s="267" t="s">
        <v>302</v>
      </c>
      <c r="B17" s="1324">
        <v>1139026.9566666668</v>
      </c>
      <c r="C17" s="1317">
        <v>3818175.0699999994</v>
      </c>
      <c r="D17" s="1383">
        <f>O17*P17</f>
        <v>1.02421349604</v>
      </c>
      <c r="E17" s="1384"/>
      <c r="F17" s="1367"/>
      <c r="G17" s="1367"/>
      <c r="H17" s="1367"/>
      <c r="I17" s="1367"/>
      <c r="J17" s="1367"/>
      <c r="K17" s="1367"/>
      <c r="L17" s="1367"/>
      <c r="M17" s="1367"/>
      <c r="N17" s="1367"/>
      <c r="O17" s="1367">
        <f>102.299/100</f>
        <v>1.0229900000000001</v>
      </c>
      <c r="P17" s="1368">
        <f>100.1196/100</f>
        <v>1.001196</v>
      </c>
      <c r="Q17" s="264">
        <f>C17*D17</f>
        <v>3910626.4369374709</v>
      </c>
      <c r="R17" s="265">
        <v>0.06</v>
      </c>
      <c r="S17" s="850">
        <f>T17*U17*V17*W17*X17*Y17*Z17*AA17*AB17*AC17</f>
        <v>0</v>
      </c>
      <c r="T17" s="329"/>
      <c r="U17" s="334"/>
      <c r="V17" s="334"/>
      <c r="W17" s="334"/>
      <c r="X17" s="334"/>
      <c r="Y17" s="334"/>
      <c r="Z17" s="334"/>
      <c r="AA17" s="334"/>
      <c r="AB17" s="334"/>
      <c r="AC17" s="334"/>
      <c r="AD17" s="314"/>
      <c r="AE17" s="321"/>
      <c r="AF17" s="295">
        <f>Q17+Q17*R17</f>
        <v>4145264.023153719</v>
      </c>
      <c r="AG17" s="265">
        <f>AH17/AF17</f>
        <v>1.1588313058865323</v>
      </c>
      <c r="AH17" s="266">
        <f>(AH20-AH16)/(AF20-AF16)*AF17</f>
        <v>4803661.7211956847</v>
      </c>
      <c r="AI17" s="280">
        <f t="shared" si="1"/>
        <v>1.2581041029100024</v>
      </c>
    </row>
    <row r="18" spans="1:36" x14ac:dyDescent="0.3">
      <c r="A18" s="267" t="s">
        <v>303</v>
      </c>
      <c r="B18" s="1325">
        <v>1048594.9683333333</v>
      </c>
      <c r="C18" s="1318">
        <v>3270797.44</v>
      </c>
      <c r="D18" s="1385">
        <f>P18</f>
        <v>1.001196</v>
      </c>
      <c r="E18" s="1386"/>
      <c r="F18" s="1369"/>
      <c r="G18" s="1369"/>
      <c r="H18" s="1369"/>
      <c r="I18" s="1369"/>
      <c r="J18" s="1369"/>
      <c r="K18" s="1369"/>
      <c r="L18" s="1369"/>
      <c r="M18" s="1369"/>
      <c r="N18" s="1369"/>
      <c r="O18" s="1369"/>
      <c r="P18" s="1370">
        <f>100.1196/100</f>
        <v>1.001196</v>
      </c>
      <c r="Q18" s="269">
        <f>C18*D18</f>
        <v>3274709.3137382399</v>
      </c>
      <c r="R18" s="270">
        <v>0.06</v>
      </c>
      <c r="S18" s="851">
        <f>T18*U18*V18*W18*X18*Y18*Z18*AA18*AB18*AC18*AD18</f>
        <v>0</v>
      </c>
      <c r="T18" s="330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6"/>
      <c r="AF18" s="296">
        <f>Q18+Q18*R18</f>
        <v>3471191.8725625342</v>
      </c>
      <c r="AG18" s="270">
        <f>AH18/AF18</f>
        <v>1.1588313058865323</v>
      </c>
      <c r="AH18" s="271">
        <f>(AH20-AH16)/(AF20-AF16)*AF18</f>
        <v>4022525.810664359</v>
      </c>
      <c r="AI18" s="280">
        <f t="shared" si="1"/>
        <v>1.229830304216075</v>
      </c>
    </row>
    <row r="19" spans="1:36" ht="19.5" thickBot="1" x14ac:dyDescent="0.35">
      <c r="A19" s="267" t="s">
        <v>304</v>
      </c>
      <c r="B19" s="1326">
        <f>796659.936666667-13.81</f>
        <v>796646.12666666694</v>
      </c>
      <c r="C19" s="1319">
        <v>1539000.85</v>
      </c>
      <c r="D19" s="1387">
        <v>1</v>
      </c>
      <c r="E19" s="1388"/>
      <c r="F19" s="1371"/>
      <c r="G19" s="1371"/>
      <c r="H19" s="1371"/>
      <c r="I19" s="1371"/>
      <c r="J19" s="1371"/>
      <c r="K19" s="1371"/>
      <c r="L19" s="1371"/>
      <c r="M19" s="1371"/>
      <c r="N19" s="1371"/>
      <c r="O19" s="1371"/>
      <c r="P19" s="1372"/>
      <c r="Q19" s="299">
        <f>C19*D19</f>
        <v>1539000.85</v>
      </c>
      <c r="R19" s="301">
        <v>0.06</v>
      </c>
      <c r="S19" s="852">
        <f>T19*U19*V19*W19*X19*Y19*Z19*AA19*AB19*AC19*AD19*AE19</f>
        <v>0</v>
      </c>
      <c r="T19" s="332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5"/>
      <c r="AF19" s="300">
        <f>Q19+Q19*R19</f>
        <v>1631340.9010000001</v>
      </c>
      <c r="AG19" s="301">
        <f>AH19/AF19</f>
        <v>1.1588313058865323</v>
      </c>
      <c r="AH19" s="302">
        <f>(AH20-AH16)/(AF20-AF16)*AF19</f>
        <v>1890448.9066519423</v>
      </c>
      <c r="AI19" s="280">
        <f t="shared" si="1"/>
        <v>1.2283611842397242</v>
      </c>
    </row>
    <row r="20" spans="1:36" s="281" customFormat="1" ht="31.5" customHeight="1" thickBot="1" x14ac:dyDescent="0.25">
      <c r="A20" s="272" t="s">
        <v>305</v>
      </c>
      <c r="B20" s="1327">
        <f>SUM(B17:B19)+B16</f>
        <v>16866365.305102874</v>
      </c>
      <c r="C20" s="1320">
        <f>SUM(C17:C19)+C16</f>
        <v>24461517.748</v>
      </c>
      <c r="D20" s="1396">
        <f>Q20/C20</f>
        <v>1.0560726732979833</v>
      </c>
      <c r="E20" s="275"/>
      <c r="F20" s="276"/>
      <c r="G20" s="1373"/>
      <c r="H20" s="1373"/>
      <c r="I20" s="1373"/>
      <c r="J20" s="276"/>
      <c r="K20" s="1373"/>
      <c r="L20" s="1373"/>
      <c r="M20" s="1373"/>
      <c r="N20" s="1373"/>
      <c r="O20" s="1373"/>
      <c r="P20" s="1374"/>
      <c r="Q20" s="273">
        <f>SUM(Q17:Q19)+Q16</f>
        <v>25833140.441056423</v>
      </c>
      <c r="R20" s="1401">
        <f>AF20/Q20-100%</f>
        <v>6.0000000000000275E-2</v>
      </c>
      <c r="S20" s="853"/>
      <c r="T20" s="326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8"/>
      <c r="AF20" s="279">
        <f>SUM(AF17:AF19)+AF16</f>
        <v>27383128.867519815</v>
      </c>
      <c r="AG20" s="278">
        <v>1.1000000000000001</v>
      </c>
      <c r="AH20" s="279">
        <f>AF20*AG20</f>
        <v>30121441.754271798</v>
      </c>
      <c r="AI20" s="340">
        <f t="shared" si="1"/>
        <v>1.2313807370654488</v>
      </c>
      <c r="AJ20" s="282"/>
    </row>
    <row r="21" spans="1:36" ht="18.75" customHeight="1" x14ac:dyDescent="0.3">
      <c r="AH21" s="286"/>
    </row>
    <row r="23" spans="1:36" x14ac:dyDescent="0.3">
      <c r="S23" s="253">
        <f>S9*D9</f>
        <v>0</v>
      </c>
    </row>
    <row r="24" spans="1:36" x14ac:dyDescent="0.3">
      <c r="A24" s="287"/>
      <c r="E24" s="287"/>
      <c r="F24" s="287"/>
      <c r="G24" s="1376"/>
      <c r="H24" s="1376"/>
      <c r="I24" s="1376"/>
      <c r="J24" s="287"/>
      <c r="K24" s="1376"/>
      <c r="L24" s="1376"/>
      <c r="M24" s="1376"/>
      <c r="N24" s="1376"/>
      <c r="O24" s="1376"/>
      <c r="P24" s="1376"/>
    </row>
    <row r="25" spans="1:36" s="281" customFormat="1" x14ac:dyDescent="0.3">
      <c r="A25" s="287"/>
      <c r="B25" s="1329"/>
      <c r="D25" s="1398"/>
      <c r="E25" s="287"/>
      <c r="F25" s="287"/>
      <c r="G25" s="1376"/>
      <c r="H25" s="1376"/>
      <c r="I25" s="1376"/>
      <c r="J25" s="287"/>
      <c r="K25" s="1376"/>
      <c r="L25" s="1376"/>
      <c r="M25" s="1376"/>
      <c r="N25" s="1376"/>
      <c r="O25" s="1376"/>
      <c r="P25" s="1376"/>
      <c r="AG25" s="289"/>
      <c r="AI25" s="280"/>
    </row>
    <row r="26" spans="1:36" x14ac:dyDescent="0.3">
      <c r="A26" s="287"/>
      <c r="E26" s="287"/>
      <c r="F26" s="287"/>
      <c r="G26" s="1376"/>
      <c r="H26" s="1376"/>
      <c r="I26" s="1376"/>
      <c r="J26" s="287"/>
      <c r="K26" s="1376"/>
      <c r="L26" s="1376"/>
      <c r="M26" s="1376"/>
      <c r="N26" s="1376"/>
      <c r="O26" s="1376"/>
      <c r="P26" s="1376"/>
    </row>
    <row r="29" spans="1:36" ht="15.75" customHeight="1" x14ac:dyDescent="0.3"/>
    <row r="30" spans="1:36" s="281" customFormat="1" ht="35.25" customHeight="1" x14ac:dyDescent="0.2">
      <c r="A30" s="290"/>
      <c r="B30" s="1329"/>
      <c r="D30" s="1398"/>
      <c r="E30" s="290"/>
      <c r="F30" s="290"/>
      <c r="G30" s="1377"/>
      <c r="H30" s="1377"/>
      <c r="I30" s="1377"/>
      <c r="J30" s="290"/>
      <c r="K30" s="1377"/>
      <c r="L30" s="1377"/>
      <c r="M30" s="1377"/>
      <c r="N30" s="1377"/>
      <c r="O30" s="1377"/>
      <c r="P30" s="1377"/>
      <c r="AG30" s="289"/>
      <c r="AI30" s="280"/>
    </row>
    <row r="31" spans="1:36" s="281" customFormat="1" ht="15.75" customHeight="1" x14ac:dyDescent="0.2">
      <c r="A31" s="291"/>
      <c r="B31" s="1329"/>
      <c r="D31" s="1398"/>
      <c r="E31" s="291"/>
      <c r="F31" s="291"/>
      <c r="G31" s="1378"/>
      <c r="H31" s="1378"/>
      <c r="I31" s="1378"/>
      <c r="J31" s="291"/>
      <c r="K31" s="1378"/>
      <c r="L31" s="1378"/>
      <c r="M31" s="1378"/>
      <c r="N31" s="1378"/>
      <c r="O31" s="1378"/>
      <c r="P31" s="1378"/>
      <c r="AG31" s="289"/>
      <c r="AI31" s="280"/>
    </row>
    <row r="32" spans="1:36" s="281" customFormat="1" ht="15.75" customHeight="1" x14ac:dyDescent="0.2">
      <c r="A32" s="291"/>
      <c r="B32" s="1329"/>
      <c r="D32" s="1398"/>
      <c r="E32" s="291"/>
      <c r="F32" s="291"/>
      <c r="G32" s="1378"/>
      <c r="H32" s="1378"/>
      <c r="I32" s="1378"/>
      <c r="J32" s="291"/>
      <c r="K32" s="1378"/>
      <c r="L32" s="1378"/>
      <c r="M32" s="1378"/>
      <c r="N32" s="1378"/>
      <c r="O32" s="1378"/>
      <c r="P32" s="1378"/>
      <c r="AG32" s="289"/>
      <c r="AI32" s="280"/>
    </row>
    <row r="33" spans="1:35" s="281" customFormat="1" ht="15.75" customHeight="1" x14ac:dyDescent="0.2">
      <c r="A33" s="291"/>
      <c r="B33" s="1329"/>
      <c r="D33" s="1398"/>
      <c r="E33" s="291"/>
      <c r="F33" s="291"/>
      <c r="G33" s="1378"/>
      <c r="H33" s="1378"/>
      <c r="I33" s="1378"/>
      <c r="J33" s="291"/>
      <c r="K33" s="1378"/>
      <c r="L33" s="1378"/>
      <c r="M33" s="1378"/>
      <c r="N33" s="1378"/>
      <c r="O33" s="1378"/>
      <c r="P33" s="1378"/>
      <c r="AG33" s="289"/>
      <c r="AI33" s="280"/>
    </row>
    <row r="34" spans="1:35" s="281" customFormat="1" ht="15.75" customHeight="1" x14ac:dyDescent="0.2">
      <c r="A34" s="291"/>
      <c r="B34" s="1329"/>
      <c r="D34" s="1398"/>
      <c r="E34" s="291"/>
      <c r="F34" s="291"/>
      <c r="G34" s="1378"/>
      <c r="H34" s="1378"/>
      <c r="I34" s="1378"/>
      <c r="J34" s="291"/>
      <c r="K34" s="1378"/>
      <c r="L34" s="1378"/>
      <c r="M34" s="1378"/>
      <c r="N34" s="1378"/>
      <c r="O34" s="1378"/>
      <c r="P34" s="1378"/>
      <c r="AG34" s="289"/>
      <c r="AI34" s="280"/>
    </row>
    <row r="35" spans="1:35" s="281" customFormat="1" ht="15.75" customHeight="1" x14ac:dyDescent="0.2">
      <c r="A35" s="291"/>
      <c r="B35" s="1329"/>
      <c r="D35" s="1398"/>
      <c r="E35" s="291"/>
      <c r="F35" s="291"/>
      <c r="G35" s="1378"/>
      <c r="H35" s="1378"/>
      <c r="I35" s="1378"/>
      <c r="J35" s="291"/>
      <c r="K35" s="1378"/>
      <c r="L35" s="1378"/>
      <c r="M35" s="1378"/>
      <c r="N35" s="1378"/>
      <c r="O35" s="1378"/>
      <c r="P35" s="1378"/>
      <c r="AG35" s="289"/>
      <c r="AI35" s="280"/>
    </row>
    <row r="36" spans="1:35" s="281" customFormat="1" ht="15.75" customHeight="1" x14ac:dyDescent="0.2">
      <c r="A36" s="291"/>
      <c r="B36" s="1329"/>
      <c r="D36" s="1398"/>
      <c r="E36" s="291"/>
      <c r="F36" s="291"/>
      <c r="G36" s="1378"/>
      <c r="H36" s="1378"/>
      <c r="I36" s="1378"/>
      <c r="J36" s="291"/>
      <c r="K36" s="1378"/>
      <c r="L36" s="1378"/>
      <c r="M36" s="1378"/>
      <c r="N36" s="1378"/>
      <c r="O36" s="1378"/>
      <c r="P36" s="1378"/>
      <c r="AG36" s="289"/>
      <c r="AI36" s="280"/>
    </row>
    <row r="37" spans="1:35" s="281" customFormat="1" x14ac:dyDescent="0.2">
      <c r="A37" s="291"/>
      <c r="B37" s="1329"/>
      <c r="D37" s="1398"/>
      <c r="E37" s="291"/>
      <c r="F37" s="291"/>
      <c r="G37" s="1378"/>
      <c r="H37" s="1378"/>
      <c r="I37" s="1378"/>
      <c r="J37" s="291"/>
      <c r="K37" s="1378"/>
      <c r="L37" s="1378"/>
      <c r="M37" s="1378"/>
      <c r="N37" s="1378"/>
      <c r="O37" s="1378"/>
      <c r="P37" s="1378"/>
      <c r="AG37" s="289"/>
      <c r="AI37" s="280"/>
    </row>
    <row r="38" spans="1:35" ht="19.5" customHeight="1" x14ac:dyDescent="0.3">
      <c r="A38" s="287"/>
      <c r="E38" s="287"/>
      <c r="F38" s="287"/>
      <c r="G38" s="1376"/>
      <c r="H38" s="1376"/>
      <c r="I38" s="1376"/>
      <c r="J38" s="287"/>
      <c r="K38" s="1376"/>
      <c r="L38" s="1376"/>
      <c r="M38" s="1376"/>
      <c r="N38" s="1376"/>
      <c r="O38" s="1376"/>
      <c r="P38" s="1376"/>
    </row>
    <row r="39" spans="1:35" x14ac:dyDescent="0.3">
      <c r="A39" s="287"/>
      <c r="E39" s="287"/>
      <c r="F39" s="287"/>
      <c r="G39" s="1376"/>
      <c r="H39" s="1376"/>
      <c r="I39" s="1376"/>
      <c r="J39" s="287"/>
      <c r="K39" s="1376"/>
      <c r="L39" s="1376"/>
      <c r="M39" s="1376"/>
      <c r="N39" s="1376"/>
      <c r="O39" s="1376"/>
      <c r="P39" s="1376"/>
    </row>
    <row r="42" spans="1:35" x14ac:dyDescent="0.3">
      <c r="A42" s="287"/>
      <c r="E42" s="287"/>
      <c r="F42" s="287"/>
      <c r="G42" s="1376"/>
      <c r="H42" s="1376"/>
      <c r="I42" s="1376"/>
      <c r="J42" s="287"/>
      <c r="K42" s="1376"/>
      <c r="L42" s="1376"/>
      <c r="M42" s="1376"/>
      <c r="N42" s="1376"/>
      <c r="O42" s="1376"/>
      <c r="P42" s="1376"/>
    </row>
    <row r="43" spans="1:35" x14ac:dyDescent="0.3">
      <c r="A43" s="287"/>
      <c r="E43" s="287"/>
      <c r="F43" s="287"/>
      <c r="G43" s="1376"/>
      <c r="H43" s="1376"/>
      <c r="I43" s="1376"/>
      <c r="J43" s="287"/>
      <c r="K43" s="1376"/>
      <c r="L43" s="1376"/>
      <c r="M43" s="1376"/>
      <c r="N43" s="1376"/>
      <c r="O43" s="1376"/>
      <c r="P43" s="1376"/>
    </row>
    <row r="44" spans="1:35" x14ac:dyDescent="0.3">
      <c r="A44" s="287"/>
      <c r="E44" s="287"/>
      <c r="F44" s="287"/>
      <c r="G44" s="1376"/>
      <c r="H44" s="1376"/>
      <c r="I44" s="1376"/>
      <c r="J44" s="287"/>
      <c r="K44" s="1376"/>
      <c r="L44" s="1376"/>
      <c r="M44" s="1376"/>
      <c r="N44" s="1376"/>
      <c r="O44" s="1376"/>
      <c r="P44" s="1376"/>
    </row>
    <row r="47" spans="1:35" x14ac:dyDescent="0.3">
      <c r="A47" s="287"/>
      <c r="E47" s="287"/>
      <c r="F47" s="287"/>
      <c r="G47" s="1376"/>
      <c r="H47" s="1376"/>
      <c r="I47" s="1376"/>
      <c r="J47" s="287"/>
      <c r="K47" s="1376"/>
      <c r="L47" s="1376"/>
      <c r="M47" s="1376"/>
      <c r="N47" s="1376"/>
      <c r="O47" s="1376"/>
      <c r="P47" s="1376"/>
    </row>
    <row r="50" spans="1:35" x14ac:dyDescent="0.3">
      <c r="A50" s="287"/>
      <c r="E50" s="287"/>
      <c r="F50" s="287"/>
      <c r="G50" s="1376"/>
      <c r="H50" s="1376"/>
      <c r="I50" s="1376"/>
      <c r="J50" s="287"/>
      <c r="K50" s="1376"/>
      <c r="L50" s="1376"/>
      <c r="M50" s="1376"/>
      <c r="N50" s="1376"/>
      <c r="O50" s="1376"/>
      <c r="P50" s="1376"/>
      <c r="AG50" s="253"/>
      <c r="AI50" s="253"/>
    </row>
    <row r="51" spans="1:35" x14ac:dyDescent="0.3">
      <c r="A51" s="287"/>
      <c r="E51" s="287"/>
      <c r="F51" s="287"/>
      <c r="G51" s="1376"/>
      <c r="H51" s="1376"/>
      <c r="I51" s="1376"/>
      <c r="J51" s="287"/>
      <c r="K51" s="1376"/>
      <c r="L51" s="1376"/>
      <c r="M51" s="1376"/>
      <c r="N51" s="1376"/>
      <c r="O51" s="1376"/>
      <c r="P51" s="1376"/>
      <c r="AG51" s="253"/>
      <c r="AI51" s="253"/>
    </row>
    <row r="58" spans="1:35" x14ac:dyDescent="0.3">
      <c r="A58" s="287"/>
      <c r="E58" s="287"/>
      <c r="F58" s="287"/>
      <c r="G58" s="1376"/>
      <c r="H58" s="1376"/>
      <c r="I58" s="1376"/>
      <c r="J58" s="287"/>
      <c r="K58" s="1376"/>
      <c r="L58" s="1376"/>
      <c r="M58" s="1376"/>
      <c r="N58" s="1376"/>
      <c r="O58" s="1376"/>
      <c r="P58" s="1376"/>
      <c r="AG58" s="253"/>
      <c r="AI58" s="253"/>
    </row>
    <row r="59" spans="1:35" x14ac:dyDescent="0.3">
      <c r="A59" s="287"/>
      <c r="E59" s="287"/>
      <c r="F59" s="287"/>
      <c r="G59" s="1376"/>
      <c r="H59" s="1376"/>
      <c r="I59" s="1376"/>
      <c r="J59" s="287"/>
      <c r="K59" s="1376"/>
      <c r="L59" s="1376"/>
      <c r="M59" s="1376"/>
      <c r="N59" s="1376"/>
      <c r="O59" s="1376"/>
      <c r="P59" s="1376"/>
      <c r="AG59" s="253"/>
      <c r="AI59" s="253"/>
    </row>
    <row r="60" spans="1:35" x14ac:dyDescent="0.3">
      <c r="A60" s="287"/>
      <c r="E60" s="287"/>
      <c r="F60" s="287"/>
      <c r="G60" s="1376"/>
      <c r="H60" s="1376"/>
      <c r="I60" s="1376"/>
      <c r="J60" s="287"/>
      <c r="K60" s="1376"/>
      <c r="L60" s="1376"/>
      <c r="M60" s="1376"/>
      <c r="N60" s="1376"/>
      <c r="O60" s="1376"/>
      <c r="P60" s="1376"/>
      <c r="AG60" s="253"/>
      <c r="AI60" s="253"/>
    </row>
    <row r="69" spans="1:35" x14ac:dyDescent="0.3">
      <c r="A69" s="287"/>
      <c r="E69" s="287"/>
      <c r="F69" s="287"/>
      <c r="G69" s="1376"/>
      <c r="H69" s="1376"/>
      <c r="I69" s="1376"/>
      <c r="J69" s="287"/>
      <c r="K69" s="1376"/>
      <c r="L69" s="1376"/>
      <c r="M69" s="1376"/>
      <c r="N69" s="1376"/>
      <c r="O69" s="1376"/>
      <c r="P69" s="1376"/>
      <c r="AG69" s="253"/>
      <c r="AI69" s="253"/>
    </row>
    <row r="71" spans="1:35" x14ac:dyDescent="0.3">
      <c r="A71" s="287"/>
      <c r="E71" s="287"/>
      <c r="F71" s="287"/>
      <c r="G71" s="1376"/>
      <c r="H71" s="1376"/>
      <c r="I71" s="1376"/>
      <c r="J71" s="287"/>
      <c r="K71" s="1376"/>
      <c r="L71" s="1376"/>
      <c r="M71" s="1376"/>
      <c r="N71" s="1376"/>
      <c r="O71" s="1376"/>
      <c r="P71" s="1376"/>
      <c r="AG71" s="253"/>
      <c r="AI71" s="253"/>
    </row>
    <row r="72" spans="1:35" x14ac:dyDescent="0.3">
      <c r="A72" s="287"/>
      <c r="E72" s="287"/>
      <c r="F72" s="287"/>
      <c r="G72" s="1376"/>
      <c r="H72" s="1376"/>
      <c r="I72" s="1376"/>
      <c r="J72" s="287"/>
      <c r="K72" s="1376"/>
      <c r="L72" s="1376"/>
      <c r="M72" s="1376"/>
      <c r="N72" s="1376"/>
      <c r="O72" s="1376"/>
      <c r="P72" s="1376"/>
      <c r="AG72" s="253"/>
      <c r="AI72" s="253"/>
    </row>
    <row r="73" spans="1:35" x14ac:dyDescent="0.3">
      <c r="A73" s="287"/>
      <c r="E73" s="287"/>
      <c r="F73" s="287"/>
      <c r="G73" s="1376"/>
      <c r="H73" s="1376"/>
      <c r="I73" s="1376"/>
      <c r="J73" s="287"/>
      <c r="K73" s="1376"/>
      <c r="L73" s="1376"/>
      <c r="M73" s="1376"/>
      <c r="N73" s="1376"/>
      <c r="O73" s="1376"/>
      <c r="P73" s="1376"/>
      <c r="AG73" s="253"/>
      <c r="AI73" s="253"/>
    </row>
    <row r="76" spans="1:35" x14ac:dyDescent="0.3">
      <c r="A76" s="287"/>
      <c r="E76" s="287"/>
      <c r="F76" s="287"/>
      <c r="G76" s="1376"/>
      <c r="H76" s="1376"/>
      <c r="I76" s="1376"/>
      <c r="J76" s="287"/>
      <c r="K76" s="1376"/>
      <c r="L76" s="1376"/>
      <c r="M76" s="1376"/>
      <c r="N76" s="1376"/>
      <c r="O76" s="1376"/>
      <c r="P76" s="1376"/>
      <c r="AG76" s="253"/>
      <c r="AI76" s="253"/>
    </row>
    <row r="77" spans="1:35" x14ac:dyDescent="0.3">
      <c r="A77" s="287"/>
      <c r="E77" s="287"/>
      <c r="F77" s="287"/>
      <c r="G77" s="1376"/>
      <c r="H77" s="1376"/>
      <c r="I77" s="1376"/>
      <c r="J77" s="287"/>
      <c r="K77" s="1376"/>
      <c r="L77" s="1376"/>
      <c r="M77" s="1376"/>
      <c r="N77" s="1376"/>
      <c r="O77" s="1376"/>
      <c r="P77" s="1376"/>
      <c r="AG77" s="253"/>
      <c r="AI77" s="253"/>
    </row>
    <row r="78" spans="1:35" x14ac:dyDescent="0.3">
      <c r="A78" s="287"/>
      <c r="E78" s="287"/>
      <c r="F78" s="287"/>
      <c r="G78" s="1376"/>
      <c r="H78" s="1376"/>
      <c r="I78" s="1376"/>
      <c r="J78" s="287"/>
      <c r="K78" s="1376"/>
      <c r="L78" s="1376"/>
      <c r="M78" s="1376"/>
      <c r="N78" s="1376"/>
      <c r="O78" s="1376"/>
      <c r="P78" s="1376"/>
      <c r="AG78" s="253"/>
      <c r="AI78" s="253"/>
    </row>
    <row r="79" spans="1:35" x14ac:dyDescent="0.3">
      <c r="A79" s="292"/>
      <c r="E79" s="292"/>
      <c r="F79" s="292"/>
      <c r="G79" s="1379"/>
      <c r="H79" s="1379"/>
      <c r="I79" s="1379"/>
      <c r="J79" s="292"/>
      <c r="K79" s="1379"/>
      <c r="L79" s="1379"/>
      <c r="M79" s="1379"/>
      <c r="N79" s="1379"/>
      <c r="O79" s="1379"/>
      <c r="P79" s="1379"/>
      <c r="AG79" s="253"/>
      <c r="AI79" s="253"/>
    </row>
    <row r="80" spans="1:35" x14ac:dyDescent="0.3">
      <c r="A80" s="287"/>
      <c r="E80" s="287"/>
      <c r="F80" s="287"/>
      <c r="G80" s="1376"/>
      <c r="H80" s="1376"/>
      <c r="I80" s="1376"/>
      <c r="J80" s="287"/>
      <c r="K80" s="1376"/>
      <c r="L80" s="1376"/>
      <c r="M80" s="1376"/>
      <c r="N80" s="1376"/>
      <c r="O80" s="1376"/>
      <c r="P80" s="1376"/>
      <c r="AG80" s="253"/>
      <c r="AI80" s="253"/>
    </row>
    <row r="81" spans="1:35" x14ac:dyDescent="0.3">
      <c r="A81" s="287"/>
      <c r="E81" s="287"/>
      <c r="F81" s="287"/>
      <c r="G81" s="1376"/>
      <c r="H81" s="1376"/>
      <c r="I81" s="1376"/>
      <c r="J81" s="287"/>
      <c r="K81" s="1376"/>
      <c r="L81" s="1376"/>
      <c r="M81" s="1376"/>
      <c r="N81" s="1376"/>
      <c r="O81" s="1376"/>
      <c r="P81" s="1376"/>
      <c r="AG81" s="253"/>
      <c r="AI81" s="253"/>
    </row>
    <row r="83" spans="1:35" x14ac:dyDescent="0.3">
      <c r="A83" s="251"/>
      <c r="E83" s="251"/>
      <c r="F83" s="251"/>
      <c r="G83" s="1380"/>
      <c r="H83" s="1380"/>
      <c r="I83" s="1380"/>
      <c r="J83" s="251"/>
      <c r="K83" s="1380"/>
      <c r="L83" s="1380"/>
      <c r="M83" s="1380"/>
      <c r="N83" s="1380"/>
      <c r="O83" s="1380"/>
      <c r="P83" s="1380"/>
      <c r="AG83" s="253"/>
      <c r="AI83" s="253"/>
    </row>
    <row r="85" spans="1:35" x14ac:dyDescent="0.3">
      <c r="A85" s="293"/>
      <c r="E85" s="293"/>
      <c r="F85" s="293"/>
      <c r="G85" s="1381"/>
      <c r="H85" s="1381"/>
      <c r="I85" s="1381"/>
      <c r="J85" s="293"/>
      <c r="K85" s="1381"/>
      <c r="L85" s="1381"/>
      <c r="M85" s="1381"/>
      <c r="N85" s="1381"/>
      <c r="O85" s="1381"/>
      <c r="P85" s="1381"/>
      <c r="AG85" s="253"/>
      <c r="AI85" s="253"/>
    </row>
    <row r="86" spans="1:35" x14ac:dyDescent="0.3">
      <c r="A86" s="250"/>
      <c r="E86" s="250"/>
      <c r="F86" s="250"/>
      <c r="G86" s="1382"/>
      <c r="H86" s="1382"/>
      <c r="I86" s="1382"/>
      <c r="J86" s="250"/>
      <c r="K86" s="1382"/>
      <c r="L86" s="1382"/>
      <c r="M86" s="1382"/>
      <c r="N86" s="1382"/>
      <c r="O86" s="1382"/>
      <c r="P86" s="1382"/>
      <c r="AG86" s="253"/>
      <c r="AI86" s="253"/>
    </row>
  </sheetData>
  <mergeCells count="2">
    <mergeCell ref="A1:AJ1"/>
    <mergeCell ref="A2:AI2"/>
  </mergeCells>
  <pageMargins left="0.31496062992125984" right="0.23622047244094491" top="0.74803149606299213" bottom="0.74803149606299213" header="0.31496062992125984" footer="0.31496062992125984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workbookViewId="0">
      <selection activeCell="AP9" sqref="AP9"/>
    </sheetView>
  </sheetViews>
  <sheetFormatPr defaultRowHeight="18.75" x14ac:dyDescent="0.3"/>
  <cols>
    <col min="1" max="1" width="21.140625" style="254" customWidth="1"/>
    <col min="2" max="3" width="16.140625" style="1328" hidden="1" customWidth="1"/>
    <col min="4" max="4" width="20.28515625" style="253" hidden="1" customWidth="1"/>
    <col min="5" max="7" width="16.140625" style="253" customWidth="1"/>
    <col min="8" max="8" width="20.28515625" style="253" customWidth="1"/>
    <col min="9" max="9" width="10.85546875" style="284" customWidth="1"/>
    <col min="10" max="21" width="9.140625" style="254" hidden="1" customWidth="1"/>
    <col min="22" max="22" width="14.85546875" style="253" customWidth="1"/>
    <col min="23" max="23" width="9" style="253" customWidth="1"/>
    <col min="24" max="24" width="10.140625" style="253" hidden="1" customWidth="1"/>
    <col min="25" max="36" width="8" style="253" hidden="1" customWidth="1"/>
    <col min="37" max="37" width="16.5703125" style="253" customWidth="1"/>
    <col min="38" max="38" width="10.42578125" style="285" customWidth="1"/>
    <col min="39" max="39" width="16" style="253" customWidth="1"/>
    <col min="40" max="40" width="11.42578125" style="261" customWidth="1"/>
    <col min="41" max="41" width="14" style="253" customWidth="1"/>
    <col min="42" max="275" width="9.140625" style="253"/>
    <col min="276" max="276" width="21.140625" style="253" customWidth="1"/>
    <col min="277" max="277" width="17.7109375" style="253" customWidth="1"/>
    <col min="278" max="278" width="10.85546875" style="253" customWidth="1"/>
    <col min="279" max="290" width="0" style="253" hidden="1" customWidth="1"/>
    <col min="291" max="291" width="16" style="253" customWidth="1"/>
    <col min="292" max="292" width="9" style="253" customWidth="1"/>
    <col min="293" max="293" width="16.5703125" style="253" customWidth="1"/>
    <col min="294" max="294" width="10.42578125" style="253" customWidth="1"/>
    <col min="295" max="295" width="16" style="253" customWidth="1"/>
    <col min="296" max="296" width="11.42578125" style="253" customWidth="1"/>
    <col min="297" max="297" width="14" style="253" customWidth="1"/>
    <col min="298" max="531" width="9.140625" style="253"/>
    <col min="532" max="532" width="21.140625" style="253" customWidth="1"/>
    <col min="533" max="533" width="17.7109375" style="253" customWidth="1"/>
    <col min="534" max="534" width="10.85546875" style="253" customWidth="1"/>
    <col min="535" max="546" width="0" style="253" hidden="1" customWidth="1"/>
    <col min="547" max="547" width="16" style="253" customWidth="1"/>
    <col min="548" max="548" width="9" style="253" customWidth="1"/>
    <col min="549" max="549" width="16.5703125" style="253" customWidth="1"/>
    <col min="550" max="550" width="10.42578125" style="253" customWidth="1"/>
    <col min="551" max="551" width="16" style="253" customWidth="1"/>
    <col min="552" max="552" width="11.42578125" style="253" customWidth="1"/>
    <col min="553" max="553" width="14" style="253" customWidth="1"/>
    <col min="554" max="787" width="9.140625" style="253"/>
    <col min="788" max="788" width="21.140625" style="253" customWidth="1"/>
    <col min="789" max="789" width="17.7109375" style="253" customWidth="1"/>
    <col min="790" max="790" width="10.85546875" style="253" customWidth="1"/>
    <col min="791" max="802" width="0" style="253" hidden="1" customWidth="1"/>
    <col min="803" max="803" width="16" style="253" customWidth="1"/>
    <col min="804" max="804" width="9" style="253" customWidth="1"/>
    <col min="805" max="805" width="16.5703125" style="253" customWidth="1"/>
    <col min="806" max="806" width="10.42578125" style="253" customWidth="1"/>
    <col min="807" max="807" width="16" style="253" customWidth="1"/>
    <col min="808" max="808" width="11.42578125" style="253" customWidth="1"/>
    <col min="809" max="809" width="14" style="253" customWidth="1"/>
    <col min="810" max="1043" width="9.140625" style="253"/>
    <col min="1044" max="1044" width="21.140625" style="253" customWidth="1"/>
    <col min="1045" max="1045" width="17.7109375" style="253" customWidth="1"/>
    <col min="1046" max="1046" width="10.85546875" style="253" customWidth="1"/>
    <col min="1047" max="1058" width="0" style="253" hidden="1" customWidth="1"/>
    <col min="1059" max="1059" width="16" style="253" customWidth="1"/>
    <col min="1060" max="1060" width="9" style="253" customWidth="1"/>
    <col min="1061" max="1061" width="16.5703125" style="253" customWidth="1"/>
    <col min="1062" max="1062" width="10.42578125" style="253" customWidth="1"/>
    <col min="1063" max="1063" width="16" style="253" customWidth="1"/>
    <col min="1064" max="1064" width="11.42578125" style="253" customWidth="1"/>
    <col min="1065" max="1065" width="14" style="253" customWidth="1"/>
    <col min="1066" max="1299" width="9.140625" style="253"/>
    <col min="1300" max="1300" width="21.140625" style="253" customWidth="1"/>
    <col min="1301" max="1301" width="17.7109375" style="253" customWidth="1"/>
    <col min="1302" max="1302" width="10.85546875" style="253" customWidth="1"/>
    <col min="1303" max="1314" width="0" style="253" hidden="1" customWidth="1"/>
    <col min="1315" max="1315" width="16" style="253" customWidth="1"/>
    <col min="1316" max="1316" width="9" style="253" customWidth="1"/>
    <col min="1317" max="1317" width="16.5703125" style="253" customWidth="1"/>
    <col min="1318" max="1318" width="10.42578125" style="253" customWidth="1"/>
    <col min="1319" max="1319" width="16" style="253" customWidth="1"/>
    <col min="1320" max="1320" width="11.42578125" style="253" customWidth="1"/>
    <col min="1321" max="1321" width="14" style="253" customWidth="1"/>
    <col min="1322" max="1555" width="9.140625" style="253"/>
    <col min="1556" max="1556" width="21.140625" style="253" customWidth="1"/>
    <col min="1557" max="1557" width="17.7109375" style="253" customWidth="1"/>
    <col min="1558" max="1558" width="10.85546875" style="253" customWidth="1"/>
    <col min="1559" max="1570" width="0" style="253" hidden="1" customWidth="1"/>
    <col min="1571" max="1571" width="16" style="253" customWidth="1"/>
    <col min="1572" max="1572" width="9" style="253" customWidth="1"/>
    <col min="1573" max="1573" width="16.5703125" style="253" customWidth="1"/>
    <col min="1574" max="1574" width="10.42578125" style="253" customWidth="1"/>
    <col min="1575" max="1575" width="16" style="253" customWidth="1"/>
    <col min="1576" max="1576" width="11.42578125" style="253" customWidth="1"/>
    <col min="1577" max="1577" width="14" style="253" customWidth="1"/>
    <col min="1578" max="1811" width="9.140625" style="253"/>
    <col min="1812" max="1812" width="21.140625" style="253" customWidth="1"/>
    <col min="1813" max="1813" width="17.7109375" style="253" customWidth="1"/>
    <col min="1814" max="1814" width="10.85546875" style="253" customWidth="1"/>
    <col min="1815" max="1826" width="0" style="253" hidden="1" customWidth="1"/>
    <col min="1827" max="1827" width="16" style="253" customWidth="1"/>
    <col min="1828" max="1828" width="9" style="253" customWidth="1"/>
    <col min="1829" max="1829" width="16.5703125" style="253" customWidth="1"/>
    <col min="1830" max="1830" width="10.42578125" style="253" customWidth="1"/>
    <col min="1831" max="1831" width="16" style="253" customWidth="1"/>
    <col min="1832" max="1832" width="11.42578125" style="253" customWidth="1"/>
    <col min="1833" max="1833" width="14" style="253" customWidth="1"/>
    <col min="1834" max="2067" width="9.140625" style="253"/>
    <col min="2068" max="2068" width="21.140625" style="253" customWidth="1"/>
    <col min="2069" max="2069" width="17.7109375" style="253" customWidth="1"/>
    <col min="2070" max="2070" width="10.85546875" style="253" customWidth="1"/>
    <col min="2071" max="2082" width="0" style="253" hidden="1" customWidth="1"/>
    <col min="2083" max="2083" width="16" style="253" customWidth="1"/>
    <col min="2084" max="2084" width="9" style="253" customWidth="1"/>
    <col min="2085" max="2085" width="16.5703125" style="253" customWidth="1"/>
    <col min="2086" max="2086" width="10.42578125" style="253" customWidth="1"/>
    <col min="2087" max="2087" width="16" style="253" customWidth="1"/>
    <col min="2088" max="2088" width="11.42578125" style="253" customWidth="1"/>
    <col min="2089" max="2089" width="14" style="253" customWidth="1"/>
    <col min="2090" max="2323" width="9.140625" style="253"/>
    <col min="2324" max="2324" width="21.140625" style="253" customWidth="1"/>
    <col min="2325" max="2325" width="17.7109375" style="253" customWidth="1"/>
    <col min="2326" max="2326" width="10.85546875" style="253" customWidth="1"/>
    <col min="2327" max="2338" width="0" style="253" hidden="1" customWidth="1"/>
    <col min="2339" max="2339" width="16" style="253" customWidth="1"/>
    <col min="2340" max="2340" width="9" style="253" customWidth="1"/>
    <col min="2341" max="2341" width="16.5703125" style="253" customWidth="1"/>
    <col min="2342" max="2342" width="10.42578125" style="253" customWidth="1"/>
    <col min="2343" max="2343" width="16" style="253" customWidth="1"/>
    <col min="2344" max="2344" width="11.42578125" style="253" customWidth="1"/>
    <col min="2345" max="2345" width="14" style="253" customWidth="1"/>
    <col min="2346" max="2579" width="9.140625" style="253"/>
    <col min="2580" max="2580" width="21.140625" style="253" customWidth="1"/>
    <col min="2581" max="2581" width="17.7109375" style="253" customWidth="1"/>
    <col min="2582" max="2582" width="10.85546875" style="253" customWidth="1"/>
    <col min="2583" max="2594" width="0" style="253" hidden="1" customWidth="1"/>
    <col min="2595" max="2595" width="16" style="253" customWidth="1"/>
    <col min="2596" max="2596" width="9" style="253" customWidth="1"/>
    <col min="2597" max="2597" width="16.5703125" style="253" customWidth="1"/>
    <col min="2598" max="2598" width="10.42578125" style="253" customWidth="1"/>
    <col min="2599" max="2599" width="16" style="253" customWidth="1"/>
    <col min="2600" max="2600" width="11.42578125" style="253" customWidth="1"/>
    <col min="2601" max="2601" width="14" style="253" customWidth="1"/>
    <col min="2602" max="2835" width="9.140625" style="253"/>
    <col min="2836" max="2836" width="21.140625" style="253" customWidth="1"/>
    <col min="2837" max="2837" width="17.7109375" style="253" customWidth="1"/>
    <col min="2838" max="2838" width="10.85546875" style="253" customWidth="1"/>
    <col min="2839" max="2850" width="0" style="253" hidden="1" customWidth="1"/>
    <col min="2851" max="2851" width="16" style="253" customWidth="1"/>
    <col min="2852" max="2852" width="9" style="253" customWidth="1"/>
    <col min="2853" max="2853" width="16.5703125" style="253" customWidth="1"/>
    <col min="2854" max="2854" width="10.42578125" style="253" customWidth="1"/>
    <col min="2855" max="2855" width="16" style="253" customWidth="1"/>
    <col min="2856" max="2856" width="11.42578125" style="253" customWidth="1"/>
    <col min="2857" max="2857" width="14" style="253" customWidth="1"/>
    <col min="2858" max="3091" width="9.140625" style="253"/>
    <col min="3092" max="3092" width="21.140625" style="253" customWidth="1"/>
    <col min="3093" max="3093" width="17.7109375" style="253" customWidth="1"/>
    <col min="3094" max="3094" width="10.85546875" style="253" customWidth="1"/>
    <col min="3095" max="3106" width="0" style="253" hidden="1" customWidth="1"/>
    <col min="3107" max="3107" width="16" style="253" customWidth="1"/>
    <col min="3108" max="3108" width="9" style="253" customWidth="1"/>
    <col min="3109" max="3109" width="16.5703125" style="253" customWidth="1"/>
    <col min="3110" max="3110" width="10.42578125" style="253" customWidth="1"/>
    <col min="3111" max="3111" width="16" style="253" customWidth="1"/>
    <col min="3112" max="3112" width="11.42578125" style="253" customWidth="1"/>
    <col min="3113" max="3113" width="14" style="253" customWidth="1"/>
    <col min="3114" max="3347" width="9.140625" style="253"/>
    <col min="3348" max="3348" width="21.140625" style="253" customWidth="1"/>
    <col min="3349" max="3349" width="17.7109375" style="253" customWidth="1"/>
    <col min="3350" max="3350" width="10.85546875" style="253" customWidth="1"/>
    <col min="3351" max="3362" width="0" style="253" hidden="1" customWidth="1"/>
    <col min="3363" max="3363" width="16" style="253" customWidth="1"/>
    <col min="3364" max="3364" width="9" style="253" customWidth="1"/>
    <col min="3365" max="3365" width="16.5703125" style="253" customWidth="1"/>
    <col min="3366" max="3366" width="10.42578125" style="253" customWidth="1"/>
    <col min="3367" max="3367" width="16" style="253" customWidth="1"/>
    <col min="3368" max="3368" width="11.42578125" style="253" customWidth="1"/>
    <col min="3369" max="3369" width="14" style="253" customWidth="1"/>
    <col min="3370" max="3603" width="9.140625" style="253"/>
    <col min="3604" max="3604" width="21.140625" style="253" customWidth="1"/>
    <col min="3605" max="3605" width="17.7109375" style="253" customWidth="1"/>
    <col min="3606" max="3606" width="10.85546875" style="253" customWidth="1"/>
    <col min="3607" max="3618" width="0" style="253" hidden="1" customWidth="1"/>
    <col min="3619" max="3619" width="16" style="253" customWidth="1"/>
    <col min="3620" max="3620" width="9" style="253" customWidth="1"/>
    <col min="3621" max="3621" width="16.5703125" style="253" customWidth="1"/>
    <col min="3622" max="3622" width="10.42578125" style="253" customWidth="1"/>
    <col min="3623" max="3623" width="16" style="253" customWidth="1"/>
    <col min="3624" max="3624" width="11.42578125" style="253" customWidth="1"/>
    <col min="3625" max="3625" width="14" style="253" customWidth="1"/>
    <col min="3626" max="3859" width="9.140625" style="253"/>
    <col min="3860" max="3860" width="21.140625" style="253" customWidth="1"/>
    <col min="3861" max="3861" width="17.7109375" style="253" customWidth="1"/>
    <col min="3862" max="3862" width="10.85546875" style="253" customWidth="1"/>
    <col min="3863" max="3874" width="0" style="253" hidden="1" customWidth="1"/>
    <col min="3875" max="3875" width="16" style="253" customWidth="1"/>
    <col min="3876" max="3876" width="9" style="253" customWidth="1"/>
    <col min="3877" max="3877" width="16.5703125" style="253" customWidth="1"/>
    <col min="3878" max="3878" width="10.42578125" style="253" customWidth="1"/>
    <col min="3879" max="3879" width="16" style="253" customWidth="1"/>
    <col min="3880" max="3880" width="11.42578125" style="253" customWidth="1"/>
    <col min="3881" max="3881" width="14" style="253" customWidth="1"/>
    <col min="3882" max="4115" width="9.140625" style="253"/>
    <col min="4116" max="4116" width="21.140625" style="253" customWidth="1"/>
    <col min="4117" max="4117" width="17.7109375" style="253" customWidth="1"/>
    <col min="4118" max="4118" width="10.85546875" style="253" customWidth="1"/>
    <col min="4119" max="4130" width="0" style="253" hidden="1" customWidth="1"/>
    <col min="4131" max="4131" width="16" style="253" customWidth="1"/>
    <col min="4132" max="4132" width="9" style="253" customWidth="1"/>
    <col min="4133" max="4133" width="16.5703125" style="253" customWidth="1"/>
    <col min="4134" max="4134" width="10.42578125" style="253" customWidth="1"/>
    <col min="4135" max="4135" width="16" style="253" customWidth="1"/>
    <col min="4136" max="4136" width="11.42578125" style="253" customWidth="1"/>
    <col min="4137" max="4137" width="14" style="253" customWidth="1"/>
    <col min="4138" max="4371" width="9.140625" style="253"/>
    <col min="4372" max="4372" width="21.140625" style="253" customWidth="1"/>
    <col min="4373" max="4373" width="17.7109375" style="253" customWidth="1"/>
    <col min="4374" max="4374" width="10.85546875" style="253" customWidth="1"/>
    <col min="4375" max="4386" width="0" style="253" hidden="1" customWidth="1"/>
    <col min="4387" max="4387" width="16" style="253" customWidth="1"/>
    <col min="4388" max="4388" width="9" style="253" customWidth="1"/>
    <col min="4389" max="4389" width="16.5703125" style="253" customWidth="1"/>
    <col min="4390" max="4390" width="10.42578125" style="253" customWidth="1"/>
    <col min="4391" max="4391" width="16" style="253" customWidth="1"/>
    <col min="4392" max="4392" width="11.42578125" style="253" customWidth="1"/>
    <col min="4393" max="4393" width="14" style="253" customWidth="1"/>
    <col min="4394" max="4627" width="9.140625" style="253"/>
    <col min="4628" max="4628" width="21.140625" style="253" customWidth="1"/>
    <col min="4629" max="4629" width="17.7109375" style="253" customWidth="1"/>
    <col min="4630" max="4630" width="10.85546875" style="253" customWidth="1"/>
    <col min="4631" max="4642" width="0" style="253" hidden="1" customWidth="1"/>
    <col min="4643" max="4643" width="16" style="253" customWidth="1"/>
    <col min="4644" max="4644" width="9" style="253" customWidth="1"/>
    <col min="4645" max="4645" width="16.5703125" style="253" customWidth="1"/>
    <col min="4646" max="4646" width="10.42578125" style="253" customWidth="1"/>
    <col min="4647" max="4647" width="16" style="253" customWidth="1"/>
    <col min="4648" max="4648" width="11.42578125" style="253" customWidth="1"/>
    <col min="4649" max="4649" width="14" style="253" customWidth="1"/>
    <col min="4650" max="4883" width="9.140625" style="253"/>
    <col min="4884" max="4884" width="21.140625" style="253" customWidth="1"/>
    <col min="4885" max="4885" width="17.7109375" style="253" customWidth="1"/>
    <col min="4886" max="4886" width="10.85546875" style="253" customWidth="1"/>
    <col min="4887" max="4898" width="0" style="253" hidden="1" customWidth="1"/>
    <col min="4899" max="4899" width="16" style="253" customWidth="1"/>
    <col min="4900" max="4900" width="9" style="253" customWidth="1"/>
    <col min="4901" max="4901" width="16.5703125" style="253" customWidth="1"/>
    <col min="4902" max="4902" width="10.42578125" style="253" customWidth="1"/>
    <col min="4903" max="4903" width="16" style="253" customWidth="1"/>
    <col min="4904" max="4904" width="11.42578125" style="253" customWidth="1"/>
    <col min="4905" max="4905" width="14" style="253" customWidth="1"/>
    <col min="4906" max="5139" width="9.140625" style="253"/>
    <col min="5140" max="5140" width="21.140625" style="253" customWidth="1"/>
    <col min="5141" max="5141" width="17.7109375" style="253" customWidth="1"/>
    <col min="5142" max="5142" width="10.85546875" style="253" customWidth="1"/>
    <col min="5143" max="5154" width="0" style="253" hidden="1" customWidth="1"/>
    <col min="5155" max="5155" width="16" style="253" customWidth="1"/>
    <col min="5156" max="5156" width="9" style="253" customWidth="1"/>
    <col min="5157" max="5157" width="16.5703125" style="253" customWidth="1"/>
    <col min="5158" max="5158" width="10.42578125" style="253" customWidth="1"/>
    <col min="5159" max="5159" width="16" style="253" customWidth="1"/>
    <col min="5160" max="5160" width="11.42578125" style="253" customWidth="1"/>
    <col min="5161" max="5161" width="14" style="253" customWidth="1"/>
    <col min="5162" max="5395" width="9.140625" style="253"/>
    <col min="5396" max="5396" width="21.140625" style="253" customWidth="1"/>
    <col min="5397" max="5397" width="17.7109375" style="253" customWidth="1"/>
    <col min="5398" max="5398" width="10.85546875" style="253" customWidth="1"/>
    <col min="5399" max="5410" width="0" style="253" hidden="1" customWidth="1"/>
    <col min="5411" max="5411" width="16" style="253" customWidth="1"/>
    <col min="5412" max="5412" width="9" style="253" customWidth="1"/>
    <col min="5413" max="5413" width="16.5703125" style="253" customWidth="1"/>
    <col min="5414" max="5414" width="10.42578125" style="253" customWidth="1"/>
    <col min="5415" max="5415" width="16" style="253" customWidth="1"/>
    <col min="5416" max="5416" width="11.42578125" style="253" customWidth="1"/>
    <col min="5417" max="5417" width="14" style="253" customWidth="1"/>
    <col min="5418" max="5651" width="9.140625" style="253"/>
    <col min="5652" max="5652" width="21.140625" style="253" customWidth="1"/>
    <col min="5653" max="5653" width="17.7109375" style="253" customWidth="1"/>
    <col min="5654" max="5654" width="10.85546875" style="253" customWidth="1"/>
    <col min="5655" max="5666" width="0" style="253" hidden="1" customWidth="1"/>
    <col min="5667" max="5667" width="16" style="253" customWidth="1"/>
    <col min="5668" max="5668" width="9" style="253" customWidth="1"/>
    <col min="5669" max="5669" width="16.5703125" style="253" customWidth="1"/>
    <col min="5670" max="5670" width="10.42578125" style="253" customWidth="1"/>
    <col min="5671" max="5671" width="16" style="253" customWidth="1"/>
    <col min="5672" max="5672" width="11.42578125" style="253" customWidth="1"/>
    <col min="5673" max="5673" width="14" style="253" customWidth="1"/>
    <col min="5674" max="5907" width="9.140625" style="253"/>
    <col min="5908" max="5908" width="21.140625" style="253" customWidth="1"/>
    <col min="5909" max="5909" width="17.7109375" style="253" customWidth="1"/>
    <col min="5910" max="5910" width="10.85546875" style="253" customWidth="1"/>
    <col min="5911" max="5922" width="0" style="253" hidden="1" customWidth="1"/>
    <col min="5923" max="5923" width="16" style="253" customWidth="1"/>
    <col min="5924" max="5924" width="9" style="253" customWidth="1"/>
    <col min="5925" max="5925" width="16.5703125" style="253" customWidth="1"/>
    <col min="5926" max="5926" width="10.42578125" style="253" customWidth="1"/>
    <col min="5927" max="5927" width="16" style="253" customWidth="1"/>
    <col min="5928" max="5928" width="11.42578125" style="253" customWidth="1"/>
    <col min="5929" max="5929" width="14" style="253" customWidth="1"/>
    <col min="5930" max="6163" width="9.140625" style="253"/>
    <col min="6164" max="6164" width="21.140625" style="253" customWidth="1"/>
    <col min="6165" max="6165" width="17.7109375" style="253" customWidth="1"/>
    <col min="6166" max="6166" width="10.85546875" style="253" customWidth="1"/>
    <col min="6167" max="6178" width="0" style="253" hidden="1" customWidth="1"/>
    <col min="6179" max="6179" width="16" style="253" customWidth="1"/>
    <col min="6180" max="6180" width="9" style="253" customWidth="1"/>
    <col min="6181" max="6181" width="16.5703125" style="253" customWidth="1"/>
    <col min="6182" max="6182" width="10.42578125" style="253" customWidth="1"/>
    <col min="6183" max="6183" width="16" style="253" customWidth="1"/>
    <col min="6184" max="6184" width="11.42578125" style="253" customWidth="1"/>
    <col min="6185" max="6185" width="14" style="253" customWidth="1"/>
    <col min="6186" max="6419" width="9.140625" style="253"/>
    <col min="6420" max="6420" width="21.140625" style="253" customWidth="1"/>
    <col min="6421" max="6421" width="17.7109375" style="253" customWidth="1"/>
    <col min="6422" max="6422" width="10.85546875" style="253" customWidth="1"/>
    <col min="6423" max="6434" width="0" style="253" hidden="1" customWidth="1"/>
    <col min="6435" max="6435" width="16" style="253" customWidth="1"/>
    <col min="6436" max="6436" width="9" style="253" customWidth="1"/>
    <col min="6437" max="6437" width="16.5703125" style="253" customWidth="1"/>
    <col min="6438" max="6438" width="10.42578125" style="253" customWidth="1"/>
    <col min="6439" max="6439" width="16" style="253" customWidth="1"/>
    <col min="6440" max="6440" width="11.42578125" style="253" customWidth="1"/>
    <col min="6441" max="6441" width="14" style="253" customWidth="1"/>
    <col min="6442" max="6675" width="9.140625" style="253"/>
    <col min="6676" max="6676" width="21.140625" style="253" customWidth="1"/>
    <col min="6677" max="6677" width="17.7109375" style="253" customWidth="1"/>
    <col min="6678" max="6678" width="10.85546875" style="253" customWidth="1"/>
    <col min="6679" max="6690" width="0" style="253" hidden="1" customWidth="1"/>
    <col min="6691" max="6691" width="16" style="253" customWidth="1"/>
    <col min="6692" max="6692" width="9" style="253" customWidth="1"/>
    <col min="6693" max="6693" width="16.5703125" style="253" customWidth="1"/>
    <col min="6694" max="6694" width="10.42578125" style="253" customWidth="1"/>
    <col min="6695" max="6695" width="16" style="253" customWidth="1"/>
    <col min="6696" max="6696" width="11.42578125" style="253" customWidth="1"/>
    <col min="6697" max="6697" width="14" style="253" customWidth="1"/>
    <col min="6698" max="6931" width="9.140625" style="253"/>
    <col min="6932" max="6932" width="21.140625" style="253" customWidth="1"/>
    <col min="6933" max="6933" width="17.7109375" style="253" customWidth="1"/>
    <col min="6934" max="6934" width="10.85546875" style="253" customWidth="1"/>
    <col min="6935" max="6946" width="0" style="253" hidden="1" customWidth="1"/>
    <col min="6947" max="6947" width="16" style="253" customWidth="1"/>
    <col min="6948" max="6948" width="9" style="253" customWidth="1"/>
    <col min="6949" max="6949" width="16.5703125" style="253" customWidth="1"/>
    <col min="6950" max="6950" width="10.42578125" style="253" customWidth="1"/>
    <col min="6951" max="6951" width="16" style="253" customWidth="1"/>
    <col min="6952" max="6952" width="11.42578125" style="253" customWidth="1"/>
    <col min="6953" max="6953" width="14" style="253" customWidth="1"/>
    <col min="6954" max="7187" width="9.140625" style="253"/>
    <col min="7188" max="7188" width="21.140625" style="253" customWidth="1"/>
    <col min="7189" max="7189" width="17.7109375" style="253" customWidth="1"/>
    <col min="7190" max="7190" width="10.85546875" style="253" customWidth="1"/>
    <col min="7191" max="7202" width="0" style="253" hidden="1" customWidth="1"/>
    <col min="7203" max="7203" width="16" style="253" customWidth="1"/>
    <col min="7204" max="7204" width="9" style="253" customWidth="1"/>
    <col min="7205" max="7205" width="16.5703125" style="253" customWidth="1"/>
    <col min="7206" max="7206" width="10.42578125" style="253" customWidth="1"/>
    <col min="7207" max="7207" width="16" style="253" customWidth="1"/>
    <col min="7208" max="7208" width="11.42578125" style="253" customWidth="1"/>
    <col min="7209" max="7209" width="14" style="253" customWidth="1"/>
    <col min="7210" max="7443" width="9.140625" style="253"/>
    <col min="7444" max="7444" width="21.140625" style="253" customWidth="1"/>
    <col min="7445" max="7445" width="17.7109375" style="253" customWidth="1"/>
    <col min="7446" max="7446" width="10.85546875" style="253" customWidth="1"/>
    <col min="7447" max="7458" width="0" style="253" hidden="1" customWidth="1"/>
    <col min="7459" max="7459" width="16" style="253" customWidth="1"/>
    <col min="7460" max="7460" width="9" style="253" customWidth="1"/>
    <col min="7461" max="7461" width="16.5703125" style="253" customWidth="1"/>
    <col min="7462" max="7462" width="10.42578125" style="253" customWidth="1"/>
    <col min="7463" max="7463" width="16" style="253" customWidth="1"/>
    <col min="7464" max="7464" width="11.42578125" style="253" customWidth="1"/>
    <col min="7465" max="7465" width="14" style="253" customWidth="1"/>
    <col min="7466" max="7699" width="9.140625" style="253"/>
    <col min="7700" max="7700" width="21.140625" style="253" customWidth="1"/>
    <col min="7701" max="7701" width="17.7109375" style="253" customWidth="1"/>
    <col min="7702" max="7702" width="10.85546875" style="253" customWidth="1"/>
    <col min="7703" max="7714" width="0" style="253" hidden="1" customWidth="1"/>
    <col min="7715" max="7715" width="16" style="253" customWidth="1"/>
    <col min="7716" max="7716" width="9" style="253" customWidth="1"/>
    <col min="7717" max="7717" width="16.5703125" style="253" customWidth="1"/>
    <col min="7718" max="7718" width="10.42578125" style="253" customWidth="1"/>
    <col min="7719" max="7719" width="16" style="253" customWidth="1"/>
    <col min="7720" max="7720" width="11.42578125" style="253" customWidth="1"/>
    <col min="7721" max="7721" width="14" style="253" customWidth="1"/>
    <col min="7722" max="7955" width="9.140625" style="253"/>
    <col min="7956" max="7956" width="21.140625" style="253" customWidth="1"/>
    <col min="7957" max="7957" width="17.7109375" style="253" customWidth="1"/>
    <col min="7958" max="7958" width="10.85546875" style="253" customWidth="1"/>
    <col min="7959" max="7970" width="0" style="253" hidden="1" customWidth="1"/>
    <col min="7971" max="7971" width="16" style="253" customWidth="1"/>
    <col min="7972" max="7972" width="9" style="253" customWidth="1"/>
    <col min="7973" max="7973" width="16.5703125" style="253" customWidth="1"/>
    <col min="7974" max="7974" width="10.42578125" style="253" customWidth="1"/>
    <col min="7975" max="7975" width="16" style="253" customWidth="1"/>
    <col min="7976" max="7976" width="11.42578125" style="253" customWidth="1"/>
    <col min="7977" max="7977" width="14" style="253" customWidth="1"/>
    <col min="7978" max="8211" width="9.140625" style="253"/>
    <col min="8212" max="8212" width="21.140625" style="253" customWidth="1"/>
    <col min="8213" max="8213" width="17.7109375" style="253" customWidth="1"/>
    <col min="8214" max="8214" width="10.85546875" style="253" customWidth="1"/>
    <col min="8215" max="8226" width="0" style="253" hidden="1" customWidth="1"/>
    <col min="8227" max="8227" width="16" style="253" customWidth="1"/>
    <col min="8228" max="8228" width="9" style="253" customWidth="1"/>
    <col min="8229" max="8229" width="16.5703125" style="253" customWidth="1"/>
    <col min="8230" max="8230" width="10.42578125" style="253" customWidth="1"/>
    <col min="8231" max="8231" width="16" style="253" customWidth="1"/>
    <col min="8232" max="8232" width="11.42578125" style="253" customWidth="1"/>
    <col min="8233" max="8233" width="14" style="253" customWidth="1"/>
    <col min="8234" max="8467" width="9.140625" style="253"/>
    <col min="8468" max="8468" width="21.140625" style="253" customWidth="1"/>
    <col min="8469" max="8469" width="17.7109375" style="253" customWidth="1"/>
    <col min="8470" max="8470" width="10.85546875" style="253" customWidth="1"/>
    <col min="8471" max="8482" width="0" style="253" hidden="1" customWidth="1"/>
    <col min="8483" max="8483" width="16" style="253" customWidth="1"/>
    <col min="8484" max="8484" width="9" style="253" customWidth="1"/>
    <col min="8485" max="8485" width="16.5703125" style="253" customWidth="1"/>
    <col min="8486" max="8486" width="10.42578125" style="253" customWidth="1"/>
    <col min="8487" max="8487" width="16" style="253" customWidth="1"/>
    <col min="8488" max="8488" width="11.42578125" style="253" customWidth="1"/>
    <col min="8489" max="8489" width="14" style="253" customWidth="1"/>
    <col min="8490" max="8723" width="9.140625" style="253"/>
    <col min="8724" max="8724" width="21.140625" style="253" customWidth="1"/>
    <col min="8725" max="8725" width="17.7109375" style="253" customWidth="1"/>
    <col min="8726" max="8726" width="10.85546875" style="253" customWidth="1"/>
    <col min="8727" max="8738" width="0" style="253" hidden="1" customWidth="1"/>
    <col min="8739" max="8739" width="16" style="253" customWidth="1"/>
    <col min="8740" max="8740" width="9" style="253" customWidth="1"/>
    <col min="8741" max="8741" width="16.5703125" style="253" customWidth="1"/>
    <col min="8742" max="8742" width="10.42578125" style="253" customWidth="1"/>
    <col min="8743" max="8743" width="16" style="253" customWidth="1"/>
    <col min="8744" max="8744" width="11.42578125" style="253" customWidth="1"/>
    <col min="8745" max="8745" width="14" style="253" customWidth="1"/>
    <col min="8746" max="8979" width="9.140625" style="253"/>
    <col min="8980" max="8980" width="21.140625" style="253" customWidth="1"/>
    <col min="8981" max="8981" width="17.7109375" style="253" customWidth="1"/>
    <col min="8982" max="8982" width="10.85546875" style="253" customWidth="1"/>
    <col min="8983" max="8994" width="0" style="253" hidden="1" customWidth="1"/>
    <col min="8995" max="8995" width="16" style="253" customWidth="1"/>
    <col min="8996" max="8996" width="9" style="253" customWidth="1"/>
    <col min="8997" max="8997" width="16.5703125" style="253" customWidth="1"/>
    <col min="8998" max="8998" width="10.42578125" style="253" customWidth="1"/>
    <col min="8999" max="8999" width="16" style="253" customWidth="1"/>
    <col min="9000" max="9000" width="11.42578125" style="253" customWidth="1"/>
    <col min="9001" max="9001" width="14" style="253" customWidth="1"/>
    <col min="9002" max="9235" width="9.140625" style="253"/>
    <col min="9236" max="9236" width="21.140625" style="253" customWidth="1"/>
    <col min="9237" max="9237" width="17.7109375" style="253" customWidth="1"/>
    <col min="9238" max="9238" width="10.85546875" style="253" customWidth="1"/>
    <col min="9239" max="9250" width="0" style="253" hidden="1" customWidth="1"/>
    <col min="9251" max="9251" width="16" style="253" customWidth="1"/>
    <col min="9252" max="9252" width="9" style="253" customWidth="1"/>
    <col min="9253" max="9253" width="16.5703125" style="253" customWidth="1"/>
    <col min="9254" max="9254" width="10.42578125" style="253" customWidth="1"/>
    <col min="9255" max="9255" width="16" style="253" customWidth="1"/>
    <col min="9256" max="9256" width="11.42578125" style="253" customWidth="1"/>
    <col min="9257" max="9257" width="14" style="253" customWidth="1"/>
    <col min="9258" max="9491" width="9.140625" style="253"/>
    <col min="9492" max="9492" width="21.140625" style="253" customWidth="1"/>
    <col min="9493" max="9493" width="17.7109375" style="253" customWidth="1"/>
    <col min="9494" max="9494" width="10.85546875" style="253" customWidth="1"/>
    <col min="9495" max="9506" width="0" style="253" hidden="1" customWidth="1"/>
    <col min="9507" max="9507" width="16" style="253" customWidth="1"/>
    <col min="9508" max="9508" width="9" style="253" customWidth="1"/>
    <col min="9509" max="9509" width="16.5703125" style="253" customWidth="1"/>
    <col min="9510" max="9510" width="10.42578125" style="253" customWidth="1"/>
    <col min="9511" max="9511" width="16" style="253" customWidth="1"/>
    <col min="9512" max="9512" width="11.42578125" style="253" customWidth="1"/>
    <col min="9513" max="9513" width="14" style="253" customWidth="1"/>
    <col min="9514" max="9747" width="9.140625" style="253"/>
    <col min="9748" max="9748" width="21.140625" style="253" customWidth="1"/>
    <col min="9749" max="9749" width="17.7109375" style="253" customWidth="1"/>
    <col min="9750" max="9750" width="10.85546875" style="253" customWidth="1"/>
    <col min="9751" max="9762" width="0" style="253" hidden="1" customWidth="1"/>
    <col min="9763" max="9763" width="16" style="253" customWidth="1"/>
    <col min="9764" max="9764" width="9" style="253" customWidth="1"/>
    <col min="9765" max="9765" width="16.5703125" style="253" customWidth="1"/>
    <col min="9766" max="9766" width="10.42578125" style="253" customWidth="1"/>
    <col min="9767" max="9767" width="16" style="253" customWidth="1"/>
    <col min="9768" max="9768" width="11.42578125" style="253" customWidth="1"/>
    <col min="9769" max="9769" width="14" style="253" customWidth="1"/>
    <col min="9770" max="10003" width="9.140625" style="253"/>
    <col min="10004" max="10004" width="21.140625" style="253" customWidth="1"/>
    <col min="10005" max="10005" width="17.7109375" style="253" customWidth="1"/>
    <col min="10006" max="10006" width="10.85546875" style="253" customWidth="1"/>
    <col min="10007" max="10018" width="0" style="253" hidden="1" customWidth="1"/>
    <col min="10019" max="10019" width="16" style="253" customWidth="1"/>
    <col min="10020" max="10020" width="9" style="253" customWidth="1"/>
    <col min="10021" max="10021" width="16.5703125" style="253" customWidth="1"/>
    <col min="10022" max="10022" width="10.42578125" style="253" customWidth="1"/>
    <col min="10023" max="10023" width="16" style="253" customWidth="1"/>
    <col min="10024" max="10024" width="11.42578125" style="253" customWidth="1"/>
    <col min="10025" max="10025" width="14" style="253" customWidth="1"/>
    <col min="10026" max="10259" width="9.140625" style="253"/>
    <col min="10260" max="10260" width="21.140625" style="253" customWidth="1"/>
    <col min="10261" max="10261" width="17.7109375" style="253" customWidth="1"/>
    <col min="10262" max="10262" width="10.85546875" style="253" customWidth="1"/>
    <col min="10263" max="10274" width="0" style="253" hidden="1" customWidth="1"/>
    <col min="10275" max="10275" width="16" style="253" customWidth="1"/>
    <col min="10276" max="10276" width="9" style="253" customWidth="1"/>
    <col min="10277" max="10277" width="16.5703125" style="253" customWidth="1"/>
    <col min="10278" max="10278" width="10.42578125" style="253" customWidth="1"/>
    <col min="10279" max="10279" width="16" style="253" customWidth="1"/>
    <col min="10280" max="10280" width="11.42578125" style="253" customWidth="1"/>
    <col min="10281" max="10281" width="14" style="253" customWidth="1"/>
    <col min="10282" max="10515" width="9.140625" style="253"/>
    <col min="10516" max="10516" width="21.140625" style="253" customWidth="1"/>
    <col min="10517" max="10517" width="17.7109375" style="253" customWidth="1"/>
    <col min="10518" max="10518" width="10.85546875" style="253" customWidth="1"/>
    <col min="10519" max="10530" width="0" style="253" hidden="1" customWidth="1"/>
    <col min="10531" max="10531" width="16" style="253" customWidth="1"/>
    <col min="10532" max="10532" width="9" style="253" customWidth="1"/>
    <col min="10533" max="10533" width="16.5703125" style="253" customWidth="1"/>
    <col min="10534" max="10534" width="10.42578125" style="253" customWidth="1"/>
    <col min="10535" max="10535" width="16" style="253" customWidth="1"/>
    <col min="10536" max="10536" width="11.42578125" style="253" customWidth="1"/>
    <col min="10537" max="10537" width="14" style="253" customWidth="1"/>
    <col min="10538" max="10771" width="9.140625" style="253"/>
    <col min="10772" max="10772" width="21.140625" style="253" customWidth="1"/>
    <col min="10773" max="10773" width="17.7109375" style="253" customWidth="1"/>
    <col min="10774" max="10774" width="10.85546875" style="253" customWidth="1"/>
    <col min="10775" max="10786" width="0" style="253" hidden="1" customWidth="1"/>
    <col min="10787" max="10787" width="16" style="253" customWidth="1"/>
    <col min="10788" max="10788" width="9" style="253" customWidth="1"/>
    <col min="10789" max="10789" width="16.5703125" style="253" customWidth="1"/>
    <col min="10790" max="10790" width="10.42578125" style="253" customWidth="1"/>
    <col min="10791" max="10791" width="16" style="253" customWidth="1"/>
    <col min="10792" max="10792" width="11.42578125" style="253" customWidth="1"/>
    <col min="10793" max="10793" width="14" style="253" customWidth="1"/>
    <col min="10794" max="11027" width="9.140625" style="253"/>
    <col min="11028" max="11028" width="21.140625" style="253" customWidth="1"/>
    <col min="11029" max="11029" width="17.7109375" style="253" customWidth="1"/>
    <col min="11030" max="11030" width="10.85546875" style="253" customWidth="1"/>
    <col min="11031" max="11042" width="0" style="253" hidden="1" customWidth="1"/>
    <col min="11043" max="11043" width="16" style="253" customWidth="1"/>
    <col min="11044" max="11044" width="9" style="253" customWidth="1"/>
    <col min="11045" max="11045" width="16.5703125" style="253" customWidth="1"/>
    <col min="11046" max="11046" width="10.42578125" style="253" customWidth="1"/>
    <col min="11047" max="11047" width="16" style="253" customWidth="1"/>
    <col min="11048" max="11048" width="11.42578125" style="253" customWidth="1"/>
    <col min="11049" max="11049" width="14" style="253" customWidth="1"/>
    <col min="11050" max="11283" width="9.140625" style="253"/>
    <col min="11284" max="11284" width="21.140625" style="253" customWidth="1"/>
    <col min="11285" max="11285" width="17.7109375" style="253" customWidth="1"/>
    <col min="11286" max="11286" width="10.85546875" style="253" customWidth="1"/>
    <col min="11287" max="11298" width="0" style="253" hidden="1" customWidth="1"/>
    <col min="11299" max="11299" width="16" style="253" customWidth="1"/>
    <col min="11300" max="11300" width="9" style="253" customWidth="1"/>
    <col min="11301" max="11301" width="16.5703125" style="253" customWidth="1"/>
    <col min="11302" max="11302" width="10.42578125" style="253" customWidth="1"/>
    <col min="11303" max="11303" width="16" style="253" customWidth="1"/>
    <col min="11304" max="11304" width="11.42578125" style="253" customWidth="1"/>
    <col min="11305" max="11305" width="14" style="253" customWidth="1"/>
    <col min="11306" max="11539" width="9.140625" style="253"/>
    <col min="11540" max="11540" width="21.140625" style="253" customWidth="1"/>
    <col min="11541" max="11541" width="17.7109375" style="253" customWidth="1"/>
    <col min="11542" max="11542" width="10.85546875" style="253" customWidth="1"/>
    <col min="11543" max="11554" width="0" style="253" hidden="1" customWidth="1"/>
    <col min="11555" max="11555" width="16" style="253" customWidth="1"/>
    <col min="11556" max="11556" width="9" style="253" customWidth="1"/>
    <col min="11557" max="11557" width="16.5703125" style="253" customWidth="1"/>
    <col min="11558" max="11558" width="10.42578125" style="253" customWidth="1"/>
    <col min="11559" max="11559" width="16" style="253" customWidth="1"/>
    <col min="11560" max="11560" width="11.42578125" style="253" customWidth="1"/>
    <col min="11561" max="11561" width="14" style="253" customWidth="1"/>
    <col min="11562" max="11795" width="9.140625" style="253"/>
    <col min="11796" max="11796" width="21.140625" style="253" customWidth="1"/>
    <col min="11797" max="11797" width="17.7109375" style="253" customWidth="1"/>
    <col min="11798" max="11798" width="10.85546875" style="253" customWidth="1"/>
    <col min="11799" max="11810" width="0" style="253" hidden="1" customWidth="1"/>
    <col min="11811" max="11811" width="16" style="253" customWidth="1"/>
    <col min="11812" max="11812" width="9" style="253" customWidth="1"/>
    <col min="11813" max="11813" width="16.5703125" style="253" customWidth="1"/>
    <col min="11814" max="11814" width="10.42578125" style="253" customWidth="1"/>
    <col min="11815" max="11815" width="16" style="253" customWidth="1"/>
    <col min="11816" max="11816" width="11.42578125" style="253" customWidth="1"/>
    <col min="11817" max="11817" width="14" style="253" customWidth="1"/>
    <col min="11818" max="12051" width="9.140625" style="253"/>
    <col min="12052" max="12052" width="21.140625" style="253" customWidth="1"/>
    <col min="12053" max="12053" width="17.7109375" style="253" customWidth="1"/>
    <col min="12054" max="12054" width="10.85546875" style="253" customWidth="1"/>
    <col min="12055" max="12066" width="0" style="253" hidden="1" customWidth="1"/>
    <col min="12067" max="12067" width="16" style="253" customWidth="1"/>
    <col min="12068" max="12068" width="9" style="253" customWidth="1"/>
    <col min="12069" max="12069" width="16.5703125" style="253" customWidth="1"/>
    <col min="12070" max="12070" width="10.42578125" style="253" customWidth="1"/>
    <col min="12071" max="12071" width="16" style="253" customWidth="1"/>
    <col min="12072" max="12072" width="11.42578125" style="253" customWidth="1"/>
    <col min="12073" max="12073" width="14" style="253" customWidth="1"/>
    <col min="12074" max="12307" width="9.140625" style="253"/>
    <col min="12308" max="12308" width="21.140625" style="253" customWidth="1"/>
    <col min="12309" max="12309" width="17.7109375" style="253" customWidth="1"/>
    <col min="12310" max="12310" width="10.85546875" style="253" customWidth="1"/>
    <col min="12311" max="12322" width="0" style="253" hidden="1" customWidth="1"/>
    <col min="12323" max="12323" width="16" style="253" customWidth="1"/>
    <col min="12324" max="12324" width="9" style="253" customWidth="1"/>
    <col min="12325" max="12325" width="16.5703125" style="253" customWidth="1"/>
    <col min="12326" max="12326" width="10.42578125" style="253" customWidth="1"/>
    <col min="12327" max="12327" width="16" style="253" customWidth="1"/>
    <col min="12328" max="12328" width="11.42578125" style="253" customWidth="1"/>
    <col min="12329" max="12329" width="14" style="253" customWidth="1"/>
    <col min="12330" max="12563" width="9.140625" style="253"/>
    <col min="12564" max="12564" width="21.140625" style="253" customWidth="1"/>
    <col min="12565" max="12565" width="17.7109375" style="253" customWidth="1"/>
    <col min="12566" max="12566" width="10.85546875" style="253" customWidth="1"/>
    <col min="12567" max="12578" width="0" style="253" hidden="1" customWidth="1"/>
    <col min="12579" max="12579" width="16" style="253" customWidth="1"/>
    <col min="12580" max="12580" width="9" style="253" customWidth="1"/>
    <col min="12581" max="12581" width="16.5703125" style="253" customWidth="1"/>
    <col min="12582" max="12582" width="10.42578125" style="253" customWidth="1"/>
    <col min="12583" max="12583" width="16" style="253" customWidth="1"/>
    <col min="12584" max="12584" width="11.42578125" style="253" customWidth="1"/>
    <col min="12585" max="12585" width="14" style="253" customWidth="1"/>
    <col min="12586" max="12819" width="9.140625" style="253"/>
    <col min="12820" max="12820" width="21.140625" style="253" customWidth="1"/>
    <col min="12821" max="12821" width="17.7109375" style="253" customWidth="1"/>
    <col min="12822" max="12822" width="10.85546875" style="253" customWidth="1"/>
    <col min="12823" max="12834" width="0" style="253" hidden="1" customWidth="1"/>
    <col min="12835" max="12835" width="16" style="253" customWidth="1"/>
    <col min="12836" max="12836" width="9" style="253" customWidth="1"/>
    <col min="12837" max="12837" width="16.5703125" style="253" customWidth="1"/>
    <col min="12838" max="12838" width="10.42578125" style="253" customWidth="1"/>
    <col min="12839" max="12839" width="16" style="253" customWidth="1"/>
    <col min="12840" max="12840" width="11.42578125" style="253" customWidth="1"/>
    <col min="12841" max="12841" width="14" style="253" customWidth="1"/>
    <col min="12842" max="13075" width="9.140625" style="253"/>
    <col min="13076" max="13076" width="21.140625" style="253" customWidth="1"/>
    <col min="13077" max="13077" width="17.7109375" style="253" customWidth="1"/>
    <col min="13078" max="13078" width="10.85546875" style="253" customWidth="1"/>
    <col min="13079" max="13090" width="0" style="253" hidden="1" customWidth="1"/>
    <col min="13091" max="13091" width="16" style="253" customWidth="1"/>
    <col min="13092" max="13092" width="9" style="253" customWidth="1"/>
    <col min="13093" max="13093" width="16.5703125" style="253" customWidth="1"/>
    <col min="13094" max="13094" width="10.42578125" style="253" customWidth="1"/>
    <col min="13095" max="13095" width="16" style="253" customWidth="1"/>
    <col min="13096" max="13096" width="11.42578125" style="253" customWidth="1"/>
    <col min="13097" max="13097" width="14" style="253" customWidth="1"/>
    <col min="13098" max="13331" width="9.140625" style="253"/>
    <col min="13332" max="13332" width="21.140625" style="253" customWidth="1"/>
    <col min="13333" max="13333" width="17.7109375" style="253" customWidth="1"/>
    <col min="13334" max="13334" width="10.85546875" style="253" customWidth="1"/>
    <col min="13335" max="13346" width="0" style="253" hidden="1" customWidth="1"/>
    <col min="13347" max="13347" width="16" style="253" customWidth="1"/>
    <col min="13348" max="13348" width="9" style="253" customWidth="1"/>
    <col min="13349" max="13349" width="16.5703125" style="253" customWidth="1"/>
    <col min="13350" max="13350" width="10.42578125" style="253" customWidth="1"/>
    <col min="13351" max="13351" width="16" style="253" customWidth="1"/>
    <col min="13352" max="13352" width="11.42578125" style="253" customWidth="1"/>
    <col min="13353" max="13353" width="14" style="253" customWidth="1"/>
    <col min="13354" max="13587" width="9.140625" style="253"/>
    <col min="13588" max="13588" width="21.140625" style="253" customWidth="1"/>
    <col min="13589" max="13589" width="17.7109375" style="253" customWidth="1"/>
    <col min="13590" max="13590" width="10.85546875" style="253" customWidth="1"/>
    <col min="13591" max="13602" width="0" style="253" hidden="1" customWidth="1"/>
    <col min="13603" max="13603" width="16" style="253" customWidth="1"/>
    <col min="13604" max="13604" width="9" style="253" customWidth="1"/>
    <col min="13605" max="13605" width="16.5703125" style="253" customWidth="1"/>
    <col min="13606" max="13606" width="10.42578125" style="253" customWidth="1"/>
    <col min="13607" max="13607" width="16" style="253" customWidth="1"/>
    <col min="13608" max="13608" width="11.42578125" style="253" customWidth="1"/>
    <col min="13609" max="13609" width="14" style="253" customWidth="1"/>
    <col min="13610" max="13843" width="9.140625" style="253"/>
    <col min="13844" max="13844" width="21.140625" style="253" customWidth="1"/>
    <col min="13845" max="13845" width="17.7109375" style="253" customWidth="1"/>
    <col min="13846" max="13846" width="10.85546875" style="253" customWidth="1"/>
    <col min="13847" max="13858" width="0" style="253" hidden="1" customWidth="1"/>
    <col min="13859" max="13859" width="16" style="253" customWidth="1"/>
    <col min="13860" max="13860" width="9" style="253" customWidth="1"/>
    <col min="13861" max="13861" width="16.5703125" style="253" customWidth="1"/>
    <col min="13862" max="13862" width="10.42578125" style="253" customWidth="1"/>
    <col min="13863" max="13863" width="16" style="253" customWidth="1"/>
    <col min="13864" max="13864" width="11.42578125" style="253" customWidth="1"/>
    <col min="13865" max="13865" width="14" style="253" customWidth="1"/>
    <col min="13866" max="14099" width="9.140625" style="253"/>
    <col min="14100" max="14100" width="21.140625" style="253" customWidth="1"/>
    <col min="14101" max="14101" width="17.7109375" style="253" customWidth="1"/>
    <col min="14102" max="14102" width="10.85546875" style="253" customWidth="1"/>
    <col min="14103" max="14114" width="0" style="253" hidden="1" customWidth="1"/>
    <col min="14115" max="14115" width="16" style="253" customWidth="1"/>
    <col min="14116" max="14116" width="9" style="253" customWidth="1"/>
    <col min="14117" max="14117" width="16.5703125" style="253" customWidth="1"/>
    <col min="14118" max="14118" width="10.42578125" style="253" customWidth="1"/>
    <col min="14119" max="14119" width="16" style="253" customWidth="1"/>
    <col min="14120" max="14120" width="11.42578125" style="253" customWidth="1"/>
    <col min="14121" max="14121" width="14" style="253" customWidth="1"/>
    <col min="14122" max="14355" width="9.140625" style="253"/>
    <col min="14356" max="14356" width="21.140625" style="253" customWidth="1"/>
    <col min="14357" max="14357" width="17.7109375" style="253" customWidth="1"/>
    <col min="14358" max="14358" width="10.85546875" style="253" customWidth="1"/>
    <col min="14359" max="14370" width="0" style="253" hidden="1" customWidth="1"/>
    <col min="14371" max="14371" width="16" style="253" customWidth="1"/>
    <col min="14372" max="14372" width="9" style="253" customWidth="1"/>
    <col min="14373" max="14373" width="16.5703125" style="253" customWidth="1"/>
    <col min="14374" max="14374" width="10.42578125" style="253" customWidth="1"/>
    <col min="14375" max="14375" width="16" style="253" customWidth="1"/>
    <col min="14376" max="14376" width="11.42578125" style="253" customWidth="1"/>
    <col min="14377" max="14377" width="14" style="253" customWidth="1"/>
    <col min="14378" max="14611" width="9.140625" style="253"/>
    <col min="14612" max="14612" width="21.140625" style="253" customWidth="1"/>
    <col min="14613" max="14613" width="17.7109375" style="253" customWidth="1"/>
    <col min="14614" max="14614" width="10.85546875" style="253" customWidth="1"/>
    <col min="14615" max="14626" width="0" style="253" hidden="1" customWidth="1"/>
    <col min="14627" max="14627" width="16" style="253" customWidth="1"/>
    <col min="14628" max="14628" width="9" style="253" customWidth="1"/>
    <col min="14629" max="14629" width="16.5703125" style="253" customWidth="1"/>
    <col min="14630" max="14630" width="10.42578125" style="253" customWidth="1"/>
    <col min="14631" max="14631" width="16" style="253" customWidth="1"/>
    <col min="14632" max="14632" width="11.42578125" style="253" customWidth="1"/>
    <col min="14633" max="14633" width="14" style="253" customWidth="1"/>
    <col min="14634" max="14867" width="9.140625" style="253"/>
    <col min="14868" max="14868" width="21.140625" style="253" customWidth="1"/>
    <col min="14869" max="14869" width="17.7109375" style="253" customWidth="1"/>
    <col min="14870" max="14870" width="10.85546875" style="253" customWidth="1"/>
    <col min="14871" max="14882" width="0" style="253" hidden="1" customWidth="1"/>
    <col min="14883" max="14883" width="16" style="253" customWidth="1"/>
    <col min="14884" max="14884" width="9" style="253" customWidth="1"/>
    <col min="14885" max="14885" width="16.5703125" style="253" customWidth="1"/>
    <col min="14886" max="14886" width="10.42578125" style="253" customWidth="1"/>
    <col min="14887" max="14887" width="16" style="253" customWidth="1"/>
    <col min="14888" max="14888" width="11.42578125" style="253" customWidth="1"/>
    <col min="14889" max="14889" width="14" style="253" customWidth="1"/>
    <col min="14890" max="15123" width="9.140625" style="253"/>
    <col min="15124" max="15124" width="21.140625" style="253" customWidth="1"/>
    <col min="15125" max="15125" width="17.7109375" style="253" customWidth="1"/>
    <col min="15126" max="15126" width="10.85546875" style="253" customWidth="1"/>
    <col min="15127" max="15138" width="0" style="253" hidden="1" customWidth="1"/>
    <col min="15139" max="15139" width="16" style="253" customWidth="1"/>
    <col min="15140" max="15140" width="9" style="253" customWidth="1"/>
    <col min="15141" max="15141" width="16.5703125" style="253" customWidth="1"/>
    <col min="15142" max="15142" width="10.42578125" style="253" customWidth="1"/>
    <col min="15143" max="15143" width="16" style="253" customWidth="1"/>
    <col min="15144" max="15144" width="11.42578125" style="253" customWidth="1"/>
    <col min="15145" max="15145" width="14" style="253" customWidth="1"/>
    <col min="15146" max="15379" width="9.140625" style="253"/>
    <col min="15380" max="15380" width="21.140625" style="253" customWidth="1"/>
    <col min="15381" max="15381" width="17.7109375" style="253" customWidth="1"/>
    <col min="15382" max="15382" width="10.85546875" style="253" customWidth="1"/>
    <col min="15383" max="15394" width="0" style="253" hidden="1" customWidth="1"/>
    <col min="15395" max="15395" width="16" style="253" customWidth="1"/>
    <col min="15396" max="15396" width="9" style="253" customWidth="1"/>
    <col min="15397" max="15397" width="16.5703125" style="253" customWidth="1"/>
    <col min="15398" max="15398" width="10.42578125" style="253" customWidth="1"/>
    <col min="15399" max="15399" width="16" style="253" customWidth="1"/>
    <col min="15400" max="15400" width="11.42578125" style="253" customWidth="1"/>
    <col min="15401" max="15401" width="14" style="253" customWidth="1"/>
    <col min="15402" max="15635" width="9.140625" style="253"/>
    <col min="15636" max="15636" width="21.140625" style="253" customWidth="1"/>
    <col min="15637" max="15637" width="17.7109375" style="253" customWidth="1"/>
    <col min="15638" max="15638" width="10.85546875" style="253" customWidth="1"/>
    <col min="15639" max="15650" width="0" style="253" hidden="1" customWidth="1"/>
    <col min="15651" max="15651" width="16" style="253" customWidth="1"/>
    <col min="15652" max="15652" width="9" style="253" customWidth="1"/>
    <col min="15653" max="15653" width="16.5703125" style="253" customWidth="1"/>
    <col min="15654" max="15654" width="10.42578125" style="253" customWidth="1"/>
    <col min="15655" max="15655" width="16" style="253" customWidth="1"/>
    <col min="15656" max="15656" width="11.42578125" style="253" customWidth="1"/>
    <col min="15657" max="15657" width="14" style="253" customWidth="1"/>
    <col min="15658" max="15891" width="9.140625" style="253"/>
    <col min="15892" max="15892" width="21.140625" style="253" customWidth="1"/>
    <col min="15893" max="15893" width="17.7109375" style="253" customWidth="1"/>
    <col min="15894" max="15894" width="10.85546875" style="253" customWidth="1"/>
    <col min="15895" max="15906" width="0" style="253" hidden="1" customWidth="1"/>
    <col min="15907" max="15907" width="16" style="253" customWidth="1"/>
    <col min="15908" max="15908" width="9" style="253" customWidth="1"/>
    <col min="15909" max="15909" width="16.5703125" style="253" customWidth="1"/>
    <col min="15910" max="15910" width="10.42578125" style="253" customWidth="1"/>
    <col min="15911" max="15911" width="16" style="253" customWidth="1"/>
    <col min="15912" max="15912" width="11.42578125" style="253" customWidth="1"/>
    <col min="15913" max="15913" width="14" style="253" customWidth="1"/>
    <col min="15914" max="16147" width="9.140625" style="253"/>
    <col min="16148" max="16148" width="21.140625" style="253" customWidth="1"/>
    <col min="16149" max="16149" width="17.7109375" style="253" customWidth="1"/>
    <col min="16150" max="16150" width="10.85546875" style="253" customWidth="1"/>
    <col min="16151" max="16162" width="0" style="253" hidden="1" customWidth="1"/>
    <col min="16163" max="16163" width="16" style="253" customWidth="1"/>
    <col min="16164" max="16164" width="9" style="253" customWidth="1"/>
    <col min="16165" max="16165" width="16.5703125" style="253" customWidth="1"/>
    <col min="16166" max="16166" width="10.42578125" style="253" customWidth="1"/>
    <col min="16167" max="16167" width="16" style="253" customWidth="1"/>
    <col min="16168" max="16168" width="11.42578125" style="253" customWidth="1"/>
    <col min="16169" max="16169" width="14" style="253" customWidth="1"/>
    <col min="16170" max="16384" width="9.140625" style="253"/>
  </cols>
  <sheetData>
    <row r="1" spans="1:41" x14ac:dyDescent="0.3">
      <c r="A1" s="2548"/>
      <c r="B1" s="2548"/>
      <c r="C1" s="2548"/>
      <c r="D1" s="2548"/>
      <c r="E1" s="2548"/>
      <c r="F1" s="2548"/>
      <c r="G1" s="2548"/>
      <c r="H1" s="2548"/>
      <c r="I1" s="2548"/>
      <c r="J1" s="2548"/>
      <c r="K1" s="2548"/>
      <c r="L1" s="2548"/>
      <c r="M1" s="2548"/>
      <c r="N1" s="2548"/>
      <c r="O1" s="2548"/>
      <c r="P1" s="2548"/>
      <c r="Q1" s="2548"/>
      <c r="R1" s="2548"/>
      <c r="S1" s="2548"/>
      <c r="T1" s="2548"/>
      <c r="U1" s="2548"/>
      <c r="V1" s="2548"/>
      <c r="W1" s="2548"/>
      <c r="X1" s="2548"/>
      <c r="Y1" s="2548"/>
      <c r="Z1" s="2548"/>
      <c r="AA1" s="2548"/>
      <c r="AB1" s="2548"/>
      <c r="AC1" s="2548"/>
      <c r="AD1" s="2548"/>
      <c r="AE1" s="2548"/>
      <c r="AF1" s="2548"/>
      <c r="AG1" s="2548"/>
      <c r="AH1" s="2548"/>
      <c r="AI1" s="2548"/>
      <c r="AJ1" s="2548"/>
      <c r="AK1" s="2548"/>
      <c r="AL1" s="2548"/>
      <c r="AM1" s="2548"/>
      <c r="AN1" s="2548"/>
      <c r="AO1" s="2548"/>
    </row>
    <row r="2" spans="1:41" ht="19.5" thickBot="1" x14ac:dyDescent="0.35">
      <c r="A2" s="2549" t="s">
        <v>660</v>
      </c>
      <c r="B2" s="2549"/>
      <c r="C2" s="2549"/>
      <c r="D2" s="2549"/>
      <c r="E2" s="2549"/>
      <c r="F2" s="2549"/>
      <c r="G2" s="2549"/>
      <c r="H2" s="2550"/>
      <c r="I2" s="2550"/>
      <c r="J2" s="2550"/>
      <c r="K2" s="2550"/>
      <c r="L2" s="2550"/>
      <c r="M2" s="2550"/>
      <c r="N2" s="2550"/>
      <c r="O2" s="2550"/>
      <c r="P2" s="2550"/>
      <c r="Q2" s="2550"/>
      <c r="R2" s="2550"/>
      <c r="S2" s="2550"/>
      <c r="T2" s="2550"/>
      <c r="U2" s="2550"/>
      <c r="V2" s="2550"/>
      <c r="W2" s="2550"/>
      <c r="X2" s="2550"/>
      <c r="Y2" s="2550"/>
      <c r="Z2" s="2550"/>
      <c r="AA2" s="2550"/>
      <c r="AB2" s="2550"/>
      <c r="AC2" s="2550"/>
      <c r="AD2" s="2550"/>
      <c r="AE2" s="2550"/>
      <c r="AF2" s="2550"/>
      <c r="AG2" s="2550"/>
      <c r="AH2" s="2550"/>
      <c r="AI2" s="2550"/>
      <c r="AJ2" s="2550"/>
      <c r="AK2" s="2550"/>
      <c r="AL2" s="2550"/>
      <c r="AM2" s="2550"/>
      <c r="AN2" s="2550"/>
    </row>
    <row r="3" spans="1:41" ht="113.25" thickBot="1" x14ac:dyDescent="0.35">
      <c r="B3" s="1330" t="s">
        <v>655</v>
      </c>
      <c r="C3" s="1353" t="s">
        <v>329</v>
      </c>
      <c r="D3" s="1359" t="s">
        <v>328</v>
      </c>
      <c r="E3" s="310" t="s">
        <v>656</v>
      </c>
      <c r="F3" s="1346" t="s">
        <v>657</v>
      </c>
      <c r="G3" s="294" t="s">
        <v>658</v>
      </c>
      <c r="H3" s="255" t="s">
        <v>659</v>
      </c>
      <c r="I3" s="256" t="s">
        <v>652</v>
      </c>
      <c r="J3" s="1389" t="s">
        <v>661</v>
      </c>
      <c r="K3" s="1390" t="s">
        <v>662</v>
      </c>
      <c r="L3" s="1391" t="s">
        <v>663</v>
      </c>
      <c r="M3" s="1391" t="s">
        <v>664</v>
      </c>
      <c r="N3" s="1391" t="s">
        <v>665</v>
      </c>
      <c r="O3" s="1390" t="s">
        <v>666</v>
      </c>
      <c r="P3" s="1391" t="s">
        <v>667</v>
      </c>
      <c r="Q3" s="1391" t="s">
        <v>668</v>
      </c>
      <c r="R3" s="1391" t="s">
        <v>669</v>
      </c>
      <c r="S3" s="1391" t="s">
        <v>670</v>
      </c>
      <c r="T3" s="1391" t="s">
        <v>562</v>
      </c>
      <c r="U3" s="1392" t="s">
        <v>671</v>
      </c>
      <c r="V3" s="255" t="s">
        <v>672</v>
      </c>
      <c r="W3" s="255" t="s">
        <v>287</v>
      </c>
      <c r="X3" s="258" t="s">
        <v>306</v>
      </c>
      <c r="Y3" s="318" t="s">
        <v>307</v>
      </c>
      <c r="Z3" s="313" t="s">
        <v>308</v>
      </c>
      <c r="AA3" s="313" t="s">
        <v>309</v>
      </c>
      <c r="AB3" s="313" t="s">
        <v>310</v>
      </c>
      <c r="AC3" s="313" t="s">
        <v>311</v>
      </c>
      <c r="AD3" s="313" t="s">
        <v>312</v>
      </c>
      <c r="AE3" s="313" t="s">
        <v>313</v>
      </c>
      <c r="AF3" s="313" t="s">
        <v>314</v>
      </c>
      <c r="AG3" s="313" t="s">
        <v>315</v>
      </c>
      <c r="AH3" s="313" t="s">
        <v>316</v>
      </c>
      <c r="AI3" s="313" t="s">
        <v>317</v>
      </c>
      <c r="AJ3" s="319" t="s">
        <v>318</v>
      </c>
      <c r="AK3" s="258" t="s">
        <v>674</v>
      </c>
      <c r="AL3" s="257" t="s">
        <v>288</v>
      </c>
      <c r="AM3" s="258" t="s">
        <v>675</v>
      </c>
      <c r="AN3" s="259" t="s">
        <v>289</v>
      </c>
    </row>
    <row r="4" spans="1:41" ht="19.5" thickBot="1" x14ac:dyDescent="0.35">
      <c r="A4" s="260"/>
      <c r="B4" s="1331"/>
      <c r="C4" s="1354"/>
      <c r="D4" s="1360"/>
      <c r="E4" s="311"/>
      <c r="F4" s="1347"/>
      <c r="G4" s="312"/>
      <c r="H4" s="303"/>
      <c r="I4" s="304"/>
      <c r="J4" s="305"/>
      <c r="K4" s="306"/>
      <c r="L4" s="1365"/>
      <c r="M4" s="1365"/>
      <c r="N4" s="1365"/>
      <c r="O4" s="306"/>
      <c r="P4" s="1365"/>
      <c r="Q4" s="1365"/>
      <c r="R4" s="1365"/>
      <c r="S4" s="1365"/>
      <c r="T4" s="1365"/>
      <c r="U4" s="1366"/>
      <c r="V4" s="303"/>
      <c r="W4" s="303"/>
      <c r="X4" s="308"/>
      <c r="Y4" s="320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12"/>
      <c r="AK4" s="308"/>
      <c r="AL4" s="309"/>
      <c r="AM4" s="308"/>
    </row>
    <row r="5" spans="1:41" x14ac:dyDescent="0.3">
      <c r="A5" s="262" t="s">
        <v>290</v>
      </c>
      <c r="B5" s="1332">
        <v>822557.95833333326</v>
      </c>
      <c r="C5" s="1355">
        <v>326071.10833333334</v>
      </c>
      <c r="D5" s="1361">
        <f>B5-C5</f>
        <v>496486.84999999992</v>
      </c>
      <c r="E5" s="1336">
        <v>889278.85</v>
      </c>
      <c r="F5" s="1348">
        <v>601304.12</v>
      </c>
      <c r="G5" s="1341"/>
      <c r="H5" s="263">
        <f>E5-(F5+G5)</f>
        <v>287974.73</v>
      </c>
      <c r="I5" s="337">
        <f>K5*L5*M5*N5*O5*P5*Q5*R5*S5*T5*U5</f>
        <v>1.0942039123902663</v>
      </c>
      <c r="J5" s="1384"/>
      <c r="K5" s="1367">
        <f>94.4494/100</f>
        <v>0.94449399999999994</v>
      </c>
      <c r="L5" s="1367">
        <f>100.3966/100</f>
        <v>1.0039660000000001</v>
      </c>
      <c r="M5" s="1367">
        <f>101.904/100</f>
        <v>1.0190399999999999</v>
      </c>
      <c r="N5" s="1367">
        <f>100.6988/100</f>
        <v>1.006988</v>
      </c>
      <c r="O5" s="1367">
        <f>103.2131/100</f>
        <v>1.0321309999999999</v>
      </c>
      <c r="P5" s="1367">
        <f>100.8254/100</f>
        <v>1.008254</v>
      </c>
      <c r="Q5" s="1367">
        <f t="shared" ref="Q5:R7" si="0">103.1121/100</f>
        <v>1.031121</v>
      </c>
      <c r="R5" s="1367">
        <f t="shared" si="0"/>
        <v>1.031121</v>
      </c>
      <c r="S5" s="1367">
        <f>99.2316/100</f>
        <v>0.99231599999999998</v>
      </c>
      <c r="T5" s="1367">
        <f>102.299/100</f>
        <v>1.0229900000000001</v>
      </c>
      <c r="U5" s="1368">
        <f>100.1196/100</f>
        <v>1.001196</v>
      </c>
      <c r="V5" s="264">
        <f>H5*I5</f>
        <v>315103.07623553055</v>
      </c>
      <c r="W5" s="265">
        <v>0.06</v>
      </c>
      <c r="X5" s="850">
        <f>Y5</f>
        <v>0</v>
      </c>
      <c r="Y5" s="329"/>
      <c r="Z5" s="636"/>
      <c r="AA5" s="636"/>
      <c r="AB5" s="314"/>
      <c r="AC5" s="314"/>
      <c r="AD5" s="314"/>
      <c r="AE5" s="314"/>
      <c r="AF5" s="314"/>
      <c r="AG5" s="314"/>
      <c r="AH5" s="314"/>
      <c r="AI5" s="314"/>
      <c r="AJ5" s="321"/>
      <c r="AK5" s="295">
        <f>V5+V5*W5</f>
        <v>334009.2608096624</v>
      </c>
      <c r="AL5" s="265">
        <f>AM5/AK5</f>
        <v>1.04</v>
      </c>
      <c r="AM5" s="266">
        <f>AM8/AK8*AK5</f>
        <v>347369.63124204893</v>
      </c>
      <c r="AN5" s="280">
        <f t="shared" ref="AN5:AN20" si="1">AM5/H5</f>
        <v>1.2062503930190296</v>
      </c>
    </row>
    <row r="6" spans="1:41" x14ac:dyDescent="0.3">
      <c r="A6" s="267" t="s">
        <v>291</v>
      </c>
      <c r="B6" s="1333">
        <v>1010175.5499999999</v>
      </c>
      <c r="C6" s="1356">
        <v>266835.45</v>
      </c>
      <c r="D6" s="1362">
        <f>B6-C6</f>
        <v>743340.09999999986</v>
      </c>
      <c r="E6" s="1337">
        <v>1027166.0799999998</v>
      </c>
      <c r="F6" s="1349">
        <v>355985.12999999995</v>
      </c>
      <c r="G6" s="1342"/>
      <c r="H6" s="268">
        <f>E6-(F6+G6)</f>
        <v>671180.95</v>
      </c>
      <c r="I6" s="338">
        <f>L6*M6*N6*O6*P6*Q6*R6*S6*T6*U6</f>
        <v>1.1585080608137965</v>
      </c>
      <c r="J6" s="1386"/>
      <c r="K6" s="1369"/>
      <c r="L6" s="1369">
        <f>100.3966/100</f>
        <v>1.0039660000000001</v>
      </c>
      <c r="M6" s="1369">
        <f>101.904/100</f>
        <v>1.0190399999999999</v>
      </c>
      <c r="N6" s="1369">
        <f>100.6988/100</f>
        <v>1.006988</v>
      </c>
      <c r="O6" s="1369">
        <f>103.2131/100</f>
        <v>1.0321309999999999</v>
      </c>
      <c r="P6" s="1369">
        <f>100.8254/100</f>
        <v>1.008254</v>
      </c>
      <c r="Q6" s="1369">
        <f t="shared" si="0"/>
        <v>1.031121</v>
      </c>
      <c r="R6" s="1369">
        <f t="shared" si="0"/>
        <v>1.031121</v>
      </c>
      <c r="S6" s="1369">
        <f>99.2316/100</f>
        <v>0.99231599999999998</v>
      </c>
      <c r="T6" s="1369">
        <f>102.299/100</f>
        <v>1.0229900000000001</v>
      </c>
      <c r="U6" s="1370">
        <f>100.1196/100</f>
        <v>1.001196</v>
      </c>
      <c r="V6" s="269">
        <f>H6*I6</f>
        <v>777568.54083966173</v>
      </c>
      <c r="W6" s="270">
        <v>0.06</v>
      </c>
      <c r="X6" s="851">
        <f>Y6*Z6</f>
        <v>0</v>
      </c>
      <c r="Y6" s="330"/>
      <c r="Z6" s="331"/>
      <c r="AA6" s="637"/>
      <c r="AB6" s="315"/>
      <c r="AC6" s="315"/>
      <c r="AD6" s="315"/>
      <c r="AE6" s="315"/>
      <c r="AF6" s="315"/>
      <c r="AG6" s="315"/>
      <c r="AH6" s="315"/>
      <c r="AI6" s="315"/>
      <c r="AJ6" s="322"/>
      <c r="AK6" s="296">
        <f>V6+V6*W6</f>
        <v>824222.65329004149</v>
      </c>
      <c r="AL6" s="270">
        <f>AM6/AK6</f>
        <v>1.04</v>
      </c>
      <c r="AM6" s="271">
        <f>AM8/AK8*AK6</f>
        <v>857191.55942164315</v>
      </c>
      <c r="AN6" s="280">
        <f t="shared" si="1"/>
        <v>1.2771392862411295</v>
      </c>
    </row>
    <row r="7" spans="1:41" ht="19.5" thickBot="1" x14ac:dyDescent="0.35">
      <c r="A7" s="267" t="s">
        <v>292</v>
      </c>
      <c r="B7" s="1334">
        <v>1247351.5333333332</v>
      </c>
      <c r="C7" s="1357">
        <v>166916.15333333335</v>
      </c>
      <c r="D7" s="1363">
        <f>B7-C7</f>
        <v>1080435.3799999999</v>
      </c>
      <c r="E7" s="1338">
        <v>1712414.51</v>
      </c>
      <c r="F7" s="1350">
        <v>215303.02</v>
      </c>
      <c r="G7" s="1343">
        <v>60409.13</v>
      </c>
      <c r="H7" s="298">
        <f>E7-(F7+G7)</f>
        <v>1436702.36</v>
      </c>
      <c r="I7" s="339">
        <f>M7*N7*O7*P7*Q7*R7*S7*T7*U7</f>
        <v>1.1539315682142586</v>
      </c>
      <c r="J7" s="1388"/>
      <c r="K7" s="1371"/>
      <c r="L7" s="1371"/>
      <c r="M7" s="1371">
        <f>101.904/100</f>
        <v>1.0190399999999999</v>
      </c>
      <c r="N7" s="1371">
        <f>100.6988/100</f>
        <v>1.006988</v>
      </c>
      <c r="O7" s="1371">
        <f>103.2131/100</f>
        <v>1.0321309999999999</v>
      </c>
      <c r="P7" s="1371">
        <f>100.8254/100</f>
        <v>1.008254</v>
      </c>
      <c r="Q7" s="1371">
        <f t="shared" si="0"/>
        <v>1.031121</v>
      </c>
      <c r="R7" s="1371">
        <f t="shared" si="0"/>
        <v>1.031121</v>
      </c>
      <c r="S7" s="1371">
        <f>99.2316/100</f>
        <v>0.99231599999999998</v>
      </c>
      <c r="T7" s="1371">
        <f>102.299/100</f>
        <v>1.0229900000000001</v>
      </c>
      <c r="U7" s="1372">
        <f>100.1196/100</f>
        <v>1.001196</v>
      </c>
      <c r="V7" s="299">
        <f>H7*I7</f>
        <v>1657856.2073319263</v>
      </c>
      <c r="W7" s="301">
        <v>0.06</v>
      </c>
      <c r="X7" s="852">
        <f>Y7*Z7*AA7</f>
        <v>0</v>
      </c>
      <c r="Y7" s="330"/>
      <c r="Z7" s="331"/>
      <c r="AA7" s="333"/>
      <c r="AB7" s="316"/>
      <c r="AC7" s="316"/>
      <c r="AD7" s="316"/>
      <c r="AE7" s="316"/>
      <c r="AF7" s="316"/>
      <c r="AG7" s="316"/>
      <c r="AH7" s="316"/>
      <c r="AI7" s="316"/>
      <c r="AJ7" s="323"/>
      <c r="AK7" s="300">
        <f>V7+V7*W7</f>
        <v>1757327.5797718419</v>
      </c>
      <c r="AL7" s="301">
        <f>AM7/AK7</f>
        <v>1.04</v>
      </c>
      <c r="AM7" s="302">
        <f>AM8/AK8*AK7</f>
        <v>1827620.6829627156</v>
      </c>
      <c r="AN7" s="280">
        <f t="shared" si="1"/>
        <v>1.2720941607993985</v>
      </c>
    </row>
    <row r="8" spans="1:41" s="281" customFormat="1" ht="20.25" thickBot="1" x14ac:dyDescent="0.25">
      <c r="A8" s="272" t="s">
        <v>293</v>
      </c>
      <c r="B8" s="1335">
        <f t="shared" ref="B8:H8" si="2">SUM(B5:B7)</f>
        <v>3080085.0416666665</v>
      </c>
      <c r="C8" s="1358">
        <f t="shared" si="2"/>
        <v>759822.71166666667</v>
      </c>
      <c r="D8" s="1364">
        <f t="shared" si="2"/>
        <v>2320262.3299999996</v>
      </c>
      <c r="E8" s="1339">
        <f t="shared" si="2"/>
        <v>3628859.4399999995</v>
      </c>
      <c r="F8" s="1351">
        <f t="shared" si="2"/>
        <v>1172592.27</v>
      </c>
      <c r="G8" s="1344">
        <f t="shared" si="2"/>
        <v>60409.13</v>
      </c>
      <c r="H8" s="273">
        <f t="shared" si="2"/>
        <v>2395858.04</v>
      </c>
      <c r="I8" s="274">
        <f>V8/H8</f>
        <v>1.1480345573426038</v>
      </c>
      <c r="J8" s="275"/>
      <c r="K8" s="276"/>
      <c r="L8" s="1373"/>
      <c r="M8" s="1373"/>
      <c r="N8" s="1373"/>
      <c r="O8" s="1373"/>
      <c r="P8" s="1373"/>
      <c r="Q8" s="1373"/>
      <c r="R8" s="1373"/>
      <c r="S8" s="1373"/>
      <c r="T8" s="1373"/>
      <c r="U8" s="1374"/>
      <c r="V8" s="277">
        <f>SUM(V5:V7)</f>
        <v>2750527.8244071184</v>
      </c>
      <c r="W8" s="1400">
        <f>AK8/V8-100%</f>
        <v>6.0000000000000053E-2</v>
      </c>
      <c r="X8" s="849"/>
      <c r="Y8" s="324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25"/>
      <c r="AK8" s="297">
        <f>SUM(AK5:AK7)</f>
        <v>2915559.4938715459</v>
      </c>
      <c r="AL8" s="278">
        <v>1.04</v>
      </c>
      <c r="AM8" s="279">
        <f>AK8*AL8</f>
        <v>3032181.8736264077</v>
      </c>
      <c r="AN8" s="340">
        <f t="shared" si="1"/>
        <v>1.2655932960144867</v>
      </c>
      <c r="AO8" s="282"/>
    </row>
    <row r="9" spans="1:41" x14ac:dyDescent="0.3">
      <c r="A9" s="267" t="s">
        <v>294</v>
      </c>
      <c r="B9" s="1332">
        <v>1195806.3333333335</v>
      </c>
      <c r="C9" s="1355">
        <v>219335.60333333336</v>
      </c>
      <c r="D9" s="1361">
        <f>B9-C9</f>
        <v>976470.7300000001</v>
      </c>
      <c r="E9" s="1336">
        <v>1389919.9559999998</v>
      </c>
      <c r="F9" s="1348">
        <v>246842.13</v>
      </c>
      <c r="G9" s="1341">
        <v>50363.43</v>
      </c>
      <c r="H9" s="263">
        <f>E9-(F9+G9)</f>
        <v>1092714.3959999997</v>
      </c>
      <c r="I9" s="337">
        <f>N9*O9*P9*Q9*R9*S9*T9*U9</f>
        <v>1.132371220181994</v>
      </c>
      <c r="J9" s="1384"/>
      <c r="K9" s="1367"/>
      <c r="L9" s="1367"/>
      <c r="M9" s="1367"/>
      <c r="N9" s="1367">
        <f>100.6988/100</f>
        <v>1.006988</v>
      </c>
      <c r="O9" s="1367">
        <f>103.2131/100</f>
        <v>1.0321309999999999</v>
      </c>
      <c r="P9" s="1367">
        <f>100.8254/100</f>
        <v>1.008254</v>
      </c>
      <c r="Q9" s="1367">
        <f t="shared" ref="Q9:R11" si="3">103.1121/100</f>
        <v>1.031121</v>
      </c>
      <c r="R9" s="1367">
        <f t="shared" si="3"/>
        <v>1.031121</v>
      </c>
      <c r="S9" s="1367">
        <f>99.2316/100</f>
        <v>0.99231599999999998</v>
      </c>
      <c r="T9" s="1367">
        <f>102.299/100</f>
        <v>1.0229900000000001</v>
      </c>
      <c r="U9" s="1368">
        <f>100.1196/100</f>
        <v>1.001196</v>
      </c>
      <c r="V9" s="264">
        <f>H9*I9</f>
        <v>1237358.3339089502</v>
      </c>
      <c r="W9" s="265">
        <v>0.06</v>
      </c>
      <c r="X9" s="850">
        <f>Y9*Z9*AA9*AB9</f>
        <v>0</v>
      </c>
      <c r="Y9" s="329"/>
      <c r="Z9" s="334"/>
      <c r="AA9" s="334"/>
      <c r="AB9" s="334"/>
      <c r="AC9" s="314"/>
      <c r="AD9" s="314"/>
      <c r="AE9" s="314"/>
      <c r="AF9" s="314"/>
      <c r="AG9" s="314"/>
      <c r="AH9" s="314"/>
      <c r="AI9" s="314"/>
      <c r="AJ9" s="321"/>
      <c r="AK9" s="295">
        <f>V9+V9*W9</f>
        <v>1311599.8339434871</v>
      </c>
      <c r="AL9" s="265">
        <f>AM9/AK9</f>
        <v>1.0562669668849773</v>
      </c>
      <c r="AM9" s="266">
        <f>(AM12-AM8)/(AK12-AK8)*AK9</f>
        <v>1385399.5783663271</v>
      </c>
      <c r="AN9" s="280">
        <f t="shared" si="1"/>
        <v>1.267851492977244</v>
      </c>
    </row>
    <row r="10" spans="1:41" x14ac:dyDescent="0.3">
      <c r="A10" s="267" t="s">
        <v>295</v>
      </c>
      <c r="B10" s="1333">
        <v>1205642.3916666666</v>
      </c>
      <c r="C10" s="1356">
        <v>478270.72166666668</v>
      </c>
      <c r="D10" s="1362">
        <f>B10-C10</f>
        <v>727371.66999999993</v>
      </c>
      <c r="E10" s="1337">
        <v>1587472.2399999998</v>
      </c>
      <c r="F10" s="1349">
        <v>233854.57</v>
      </c>
      <c r="G10" s="1342">
        <v>49899.64</v>
      </c>
      <c r="H10" s="268">
        <f>E10-(F10+G10)</f>
        <v>1303718.0299999998</v>
      </c>
      <c r="I10" s="338">
        <f>O10*P10*Q10*R10*S10*T10*U10</f>
        <v>1.1245131224820888</v>
      </c>
      <c r="J10" s="1386"/>
      <c r="K10" s="1369"/>
      <c r="L10" s="1369"/>
      <c r="M10" s="1369"/>
      <c r="N10" s="1369"/>
      <c r="O10" s="1369">
        <f>103.2131/100</f>
        <v>1.0321309999999999</v>
      </c>
      <c r="P10" s="1369">
        <f>100.8254/100</f>
        <v>1.008254</v>
      </c>
      <c r="Q10" s="1369">
        <f t="shared" si="3"/>
        <v>1.031121</v>
      </c>
      <c r="R10" s="1369">
        <f t="shared" si="3"/>
        <v>1.031121</v>
      </c>
      <c r="S10" s="1369">
        <f>99.2316/100</f>
        <v>0.99231599999999998</v>
      </c>
      <c r="T10" s="1369">
        <f>102.299/100</f>
        <v>1.0229900000000001</v>
      </c>
      <c r="U10" s="1370">
        <f>100.1196/100</f>
        <v>1.001196</v>
      </c>
      <c r="V10" s="269">
        <f>H10*I10</f>
        <v>1466048.0327514973</v>
      </c>
      <c r="W10" s="270">
        <v>0.06</v>
      </c>
      <c r="X10" s="851">
        <f>Y10*Z10*AA10*AB10*AC10</f>
        <v>0</v>
      </c>
      <c r="Y10" s="330"/>
      <c r="Z10" s="331"/>
      <c r="AA10" s="331"/>
      <c r="AB10" s="331"/>
      <c r="AC10" s="331"/>
      <c r="AD10" s="315"/>
      <c r="AE10" s="315"/>
      <c r="AF10" s="315"/>
      <c r="AG10" s="315"/>
      <c r="AH10" s="315"/>
      <c r="AI10" s="315"/>
      <c r="AJ10" s="322"/>
      <c r="AK10" s="296">
        <f>V10+V10*W10</f>
        <v>1554010.9147165872</v>
      </c>
      <c r="AL10" s="270">
        <f>AM10/AK10</f>
        <v>1.0562669668849773</v>
      </c>
      <c r="AM10" s="271">
        <f>(AM12-AM8)/(AK12-AK8)*AK10</f>
        <v>1641450.3953938386</v>
      </c>
      <c r="AN10" s="280">
        <f t="shared" si="1"/>
        <v>1.2590532290129015</v>
      </c>
    </row>
    <row r="11" spans="1:41" ht="19.5" thickBot="1" x14ac:dyDescent="0.35">
      <c r="A11" s="267" t="s">
        <v>296</v>
      </c>
      <c r="B11" s="1334">
        <v>1796052.1266666667</v>
      </c>
      <c r="C11" s="1357">
        <v>203168.80833333332</v>
      </c>
      <c r="D11" s="1363">
        <f>B11-C11</f>
        <v>1592883.3183333334</v>
      </c>
      <c r="E11" s="1338">
        <v>1800619.9100000001</v>
      </c>
      <c r="F11" s="1350">
        <v>208472.39</v>
      </c>
      <c r="G11" s="1343">
        <v>45094.81</v>
      </c>
      <c r="H11" s="298">
        <f>E11-(F11+G11)</f>
        <v>1547052.7100000002</v>
      </c>
      <c r="I11" s="339">
        <f>P11*Q11*R11*S11*T11*U11</f>
        <v>1.0895061988081831</v>
      </c>
      <c r="J11" s="1388"/>
      <c r="K11" s="1371"/>
      <c r="L11" s="1371"/>
      <c r="M11" s="1371"/>
      <c r="N11" s="1371"/>
      <c r="O11" s="1371"/>
      <c r="P11" s="1371">
        <f>100.8254/100</f>
        <v>1.008254</v>
      </c>
      <c r="Q11" s="1371">
        <f t="shared" si="3"/>
        <v>1.031121</v>
      </c>
      <c r="R11" s="1371">
        <f t="shared" si="3"/>
        <v>1.031121</v>
      </c>
      <c r="S11" s="1371">
        <f>99.2316/100</f>
        <v>0.99231599999999998</v>
      </c>
      <c r="T11" s="1371">
        <f>102.299/100</f>
        <v>1.0229900000000001</v>
      </c>
      <c r="U11" s="1372">
        <f>100.1196/100</f>
        <v>1.001196</v>
      </c>
      <c r="V11" s="299">
        <f>H11*I11</f>
        <v>1685523.5174279986</v>
      </c>
      <c r="W11" s="301">
        <v>0.06</v>
      </c>
      <c r="X11" s="1399">
        <f>Y11*Z11*AA11*AB11*AC11*AD11</f>
        <v>0</v>
      </c>
      <c r="Y11" s="332"/>
      <c r="Z11" s="333"/>
      <c r="AA11" s="333"/>
      <c r="AB11" s="333"/>
      <c r="AC11" s="333"/>
      <c r="AD11" s="333"/>
      <c r="AE11" s="316"/>
      <c r="AF11" s="316"/>
      <c r="AG11" s="316"/>
      <c r="AH11" s="316"/>
      <c r="AI11" s="316"/>
      <c r="AJ11" s="323"/>
      <c r="AK11" s="300">
        <f>V11+V11*W11</f>
        <v>1786654.9284736784</v>
      </c>
      <c r="AL11" s="301">
        <f>AM11/AK11</f>
        <v>1.0562669668849773</v>
      </c>
      <c r="AM11" s="302">
        <f>(AM12-AM8)/(AK12-AK8)*AK11</f>
        <v>1887184.5821689884</v>
      </c>
      <c r="AN11" s="280">
        <f t="shared" si="1"/>
        <v>1.2198579724985505</v>
      </c>
    </row>
    <row r="12" spans="1:41" s="281" customFormat="1" ht="20.25" thickBot="1" x14ac:dyDescent="0.25">
      <c r="A12" s="272" t="s">
        <v>297</v>
      </c>
      <c r="B12" s="1335">
        <f t="shared" ref="B12:H12" si="4">SUM(B9:B11)+B8</f>
        <v>7277585.8933333326</v>
      </c>
      <c r="C12" s="1358">
        <f t="shared" si="4"/>
        <v>1660597.8450000002</v>
      </c>
      <c r="D12" s="1364">
        <f t="shared" si="4"/>
        <v>5616988.0483333329</v>
      </c>
      <c r="E12" s="1339">
        <f t="shared" si="4"/>
        <v>8406871.5460000001</v>
      </c>
      <c r="F12" s="1351">
        <f t="shared" si="4"/>
        <v>1861761.36</v>
      </c>
      <c r="G12" s="1344">
        <f t="shared" si="4"/>
        <v>205767.01</v>
      </c>
      <c r="H12" s="273">
        <f t="shared" si="4"/>
        <v>6339343.176</v>
      </c>
      <c r="I12" s="274">
        <f>V12/H12</f>
        <v>1.1262141061434729</v>
      </c>
      <c r="J12" s="275"/>
      <c r="K12" s="276"/>
      <c r="L12" s="1373"/>
      <c r="M12" s="1373"/>
      <c r="N12" s="1373"/>
      <c r="O12" s="276"/>
      <c r="P12" s="1373"/>
      <c r="Q12" s="1373"/>
      <c r="R12" s="1373"/>
      <c r="S12" s="1373"/>
      <c r="T12" s="1373"/>
      <c r="U12" s="1374"/>
      <c r="V12" s="277">
        <f>SUM(V9:V11)+V8</f>
        <v>7139457.7084955648</v>
      </c>
      <c r="W12" s="1400">
        <f>AK12/V12-100%</f>
        <v>6.0000000000000053E-2</v>
      </c>
      <c r="X12" s="849"/>
      <c r="Y12" s="324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25"/>
      <c r="AK12" s="297">
        <f>SUM(AK9:AK11)+AK8</f>
        <v>7567825.1710052993</v>
      </c>
      <c r="AL12" s="278">
        <v>1.05</v>
      </c>
      <c r="AM12" s="279">
        <f>AK12*AL12</f>
        <v>7946216.4295555642</v>
      </c>
      <c r="AN12" s="340">
        <f t="shared" si="1"/>
        <v>1.2534763001376854</v>
      </c>
      <c r="AO12" s="282"/>
    </row>
    <row r="13" spans="1:41" x14ac:dyDescent="0.3">
      <c r="A13" s="267" t="s">
        <v>298</v>
      </c>
      <c r="B13" s="1332">
        <v>1962260.3557903334</v>
      </c>
      <c r="C13" s="1355">
        <v>168912.06666666668</v>
      </c>
      <c r="D13" s="1361">
        <f>B13-C13</f>
        <v>1793348.2891236667</v>
      </c>
      <c r="E13" s="1340">
        <v>932840.64999999991</v>
      </c>
      <c r="F13" s="1352">
        <v>86493.14</v>
      </c>
      <c r="G13" s="1345">
        <v>19302.23</v>
      </c>
      <c r="H13" s="263">
        <f>E13-(F13+G13)</f>
        <v>827045.27999999991</v>
      </c>
      <c r="I13" s="337">
        <f>Q13*R13*S13*T13*U13</f>
        <v>1.0805870334342174</v>
      </c>
      <c r="J13" s="1384"/>
      <c r="K13" s="1367"/>
      <c r="L13" s="1367"/>
      <c r="M13" s="1367"/>
      <c r="N13" s="1367"/>
      <c r="O13" s="1367"/>
      <c r="P13" s="1367"/>
      <c r="Q13" s="1367">
        <f>103.1121/100</f>
        <v>1.031121</v>
      </c>
      <c r="R13" s="1367">
        <f>103.1121/100</f>
        <v>1.031121</v>
      </c>
      <c r="S13" s="1367">
        <f>99.2316/100</f>
        <v>0.99231599999999998</v>
      </c>
      <c r="T13" s="1367">
        <f>102.299/100</f>
        <v>1.0229900000000001</v>
      </c>
      <c r="U13" s="1368">
        <f>100.1196/100</f>
        <v>1.001196</v>
      </c>
      <c r="V13" s="264">
        <f>H13*I13</f>
        <v>893694.40563097154</v>
      </c>
      <c r="W13" s="265">
        <v>0.06</v>
      </c>
      <c r="X13" s="850">
        <f>Y13*Z13*AA13*AB13*AC13*AD13*AE13</f>
        <v>0</v>
      </c>
      <c r="Y13" s="329"/>
      <c r="Z13" s="334"/>
      <c r="AA13" s="334"/>
      <c r="AB13" s="334"/>
      <c r="AC13" s="334"/>
      <c r="AD13" s="334"/>
      <c r="AE13" s="334"/>
      <c r="AF13" s="314"/>
      <c r="AG13" s="314"/>
      <c r="AH13" s="314"/>
      <c r="AI13" s="314"/>
      <c r="AJ13" s="321"/>
      <c r="AK13" s="295">
        <f>V13+V13*W13</f>
        <v>947316.06996882986</v>
      </c>
      <c r="AL13" s="265">
        <f>AM13/AK13</f>
        <v>1.0899690964631346</v>
      </c>
      <c r="AM13" s="266">
        <f>(AM16-AM12)/(AK16-AK12)*AK13</f>
        <v>1032545.240848933</v>
      </c>
      <c r="AN13" s="280">
        <f t="shared" si="1"/>
        <v>1.2484748608309972</v>
      </c>
    </row>
    <row r="14" spans="1:41" x14ac:dyDescent="0.3">
      <c r="A14" s="267" t="s">
        <v>299</v>
      </c>
      <c r="B14" s="1333">
        <v>3172612.3379006251</v>
      </c>
      <c r="C14" s="1356">
        <v>152550.84333333335</v>
      </c>
      <c r="D14" s="1362">
        <f>B14-C14</f>
        <v>3020061.4945672918</v>
      </c>
      <c r="E14" s="1337">
        <v>1294911.5919999999</v>
      </c>
      <c r="F14" s="1349">
        <v>231421.72</v>
      </c>
      <c r="G14" s="1342">
        <v>14583.42</v>
      </c>
      <c r="H14" s="268">
        <f>E14-(F14+G14)</f>
        <v>1048906.452</v>
      </c>
      <c r="I14" s="338">
        <f>R14*S14*T14*U14</f>
        <v>1.0479730637182418</v>
      </c>
      <c r="J14" s="1386"/>
      <c r="K14" s="1369"/>
      <c r="L14" s="1369"/>
      <c r="M14" s="1369"/>
      <c r="N14" s="1369"/>
      <c r="O14" s="1369"/>
      <c r="P14" s="1369"/>
      <c r="Q14" s="1369"/>
      <c r="R14" s="1369">
        <f>103.1121/100</f>
        <v>1.031121</v>
      </c>
      <c r="S14" s="1369">
        <f>99.2316/100</f>
        <v>0.99231599999999998</v>
      </c>
      <c r="T14" s="1369">
        <f>102.299/100</f>
        <v>1.0229900000000001</v>
      </c>
      <c r="U14" s="1370">
        <f>100.1196/100</f>
        <v>1.001196</v>
      </c>
      <c r="V14" s="269">
        <f>H14*I14</f>
        <v>1099225.7080562711</v>
      </c>
      <c r="W14" s="270">
        <v>0.06</v>
      </c>
      <c r="X14" s="851">
        <f>Y14*Z14*AA14*AB14*AC14*AD14*AE14*AF14</f>
        <v>0</v>
      </c>
      <c r="Y14" s="330"/>
      <c r="Z14" s="331"/>
      <c r="AA14" s="331"/>
      <c r="AB14" s="331"/>
      <c r="AC14" s="331"/>
      <c r="AD14" s="331"/>
      <c r="AE14" s="331"/>
      <c r="AF14" s="331"/>
      <c r="AG14" s="315"/>
      <c r="AH14" s="315"/>
      <c r="AI14" s="315"/>
      <c r="AJ14" s="322"/>
      <c r="AK14" s="296">
        <f>V14+V14*W14</f>
        <v>1165179.2505396474</v>
      </c>
      <c r="AL14" s="270">
        <f>AM14/AK14</f>
        <v>1.0899690964631346</v>
      </c>
      <c r="AM14" s="271">
        <f>(AM16-AM12)/(AK16-AK12)*AK14</f>
        <v>1270009.3749282919</v>
      </c>
      <c r="AN14" s="280">
        <f t="shared" si="1"/>
        <v>1.2107937485813958</v>
      </c>
    </row>
    <row r="15" spans="1:41" ht="19.5" thickBot="1" x14ac:dyDescent="0.35">
      <c r="A15" s="267" t="s">
        <v>300</v>
      </c>
      <c r="B15" s="1334">
        <v>1469638.666411917</v>
      </c>
      <c r="C15" s="1357">
        <v>103687.98166666667</v>
      </c>
      <c r="D15" s="1363">
        <f>B15-C15</f>
        <v>1365950.6847452503</v>
      </c>
      <c r="E15" s="1338">
        <v>5198920.6000000006</v>
      </c>
      <c r="F15" s="1350">
        <v>100063.23000000001</v>
      </c>
      <c r="G15" s="1343">
        <v>24208.2</v>
      </c>
      <c r="H15" s="298">
        <f>E15-(F15+G15)</f>
        <v>5074649.1700000009</v>
      </c>
      <c r="I15" s="339">
        <f>S15*T15*U15</f>
        <v>1.0163434395364286</v>
      </c>
      <c r="J15" s="1388"/>
      <c r="K15" s="1371"/>
      <c r="L15" s="1371"/>
      <c r="M15" s="1371"/>
      <c r="N15" s="1371"/>
      <c r="O15" s="1371"/>
      <c r="P15" s="1371"/>
      <c r="Q15" s="1371"/>
      <c r="R15" s="1371"/>
      <c r="S15" s="1371">
        <f>99.2316/100</f>
        <v>0.99231599999999998</v>
      </c>
      <c r="T15" s="1371">
        <f>102.299/100</f>
        <v>1.0229900000000001</v>
      </c>
      <c r="U15" s="1372">
        <f>100.1196/100</f>
        <v>1.001196</v>
      </c>
      <c r="V15" s="299">
        <f>H15*I15</f>
        <v>5157586.3918784838</v>
      </c>
      <c r="W15" s="301">
        <v>0.06</v>
      </c>
      <c r="X15" s="852">
        <f>Y15*Z15*AA15*AB15*AC15*AD15*AE15*AF15*AG15</f>
        <v>0</v>
      </c>
      <c r="Y15" s="332"/>
      <c r="Z15" s="333"/>
      <c r="AA15" s="333"/>
      <c r="AB15" s="333"/>
      <c r="AC15" s="333"/>
      <c r="AD15" s="333"/>
      <c r="AE15" s="333"/>
      <c r="AF15" s="333"/>
      <c r="AG15" s="333"/>
      <c r="AH15" s="316"/>
      <c r="AI15" s="316"/>
      <c r="AJ15" s="323"/>
      <c r="AK15" s="300">
        <f>V15+V15*W15</f>
        <v>5467041.5753911929</v>
      </c>
      <c r="AL15" s="301">
        <f>AM15/AK15</f>
        <v>1.0899690964631346</v>
      </c>
      <c r="AM15" s="302">
        <f>(AM16-AM12)/(AK16-AK12)*AK15</f>
        <v>5958906.3662555302</v>
      </c>
      <c r="AN15" s="280">
        <f t="shared" si="1"/>
        <v>1.1742499169170209</v>
      </c>
    </row>
    <row r="16" spans="1:41" s="281" customFormat="1" ht="20.25" thickBot="1" x14ac:dyDescent="0.25">
      <c r="A16" s="272" t="s">
        <v>301</v>
      </c>
      <c r="B16" s="1335">
        <f t="shared" ref="B16:H16" si="5">SUM(B13:B15)+B12</f>
        <v>13882097.253436208</v>
      </c>
      <c r="C16" s="1358">
        <f t="shared" si="5"/>
        <v>2085748.7366666668</v>
      </c>
      <c r="D16" s="1364">
        <f t="shared" si="5"/>
        <v>11796348.516769541</v>
      </c>
      <c r="E16" s="1339">
        <f t="shared" si="5"/>
        <v>15833544.388</v>
      </c>
      <c r="F16" s="1351">
        <f t="shared" si="5"/>
        <v>2279739.4500000002</v>
      </c>
      <c r="G16" s="1344">
        <f t="shared" si="5"/>
        <v>263860.86</v>
      </c>
      <c r="H16" s="273">
        <f t="shared" si="5"/>
        <v>13289944.078000002</v>
      </c>
      <c r="I16" s="274">
        <f>V16/H16</f>
        <v>1.0752463765228861</v>
      </c>
      <c r="J16" s="275"/>
      <c r="K16" s="276"/>
      <c r="L16" s="1373"/>
      <c r="M16" s="1373"/>
      <c r="N16" s="1373"/>
      <c r="O16" s="276"/>
      <c r="P16" s="1373"/>
      <c r="Q16" s="1373"/>
      <c r="R16" s="1373"/>
      <c r="S16" s="1373"/>
      <c r="T16" s="1373"/>
      <c r="U16" s="1374"/>
      <c r="V16" s="277">
        <f>SUM(V13:V15)+V12</f>
        <v>14289964.21406129</v>
      </c>
      <c r="W16" s="1400">
        <f>AK16/V16-100%</f>
        <v>6.0000000000000053E-2</v>
      </c>
      <c r="X16" s="849"/>
      <c r="Y16" s="324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25"/>
      <c r="AK16" s="297">
        <f>SUM(AK13:AK15)+AK12</f>
        <v>15147362.06690497</v>
      </c>
      <c r="AL16" s="278">
        <v>1.07</v>
      </c>
      <c r="AM16" s="279">
        <f>AK16*AL16</f>
        <v>16207677.411588319</v>
      </c>
      <c r="AN16" s="340">
        <f t="shared" si="1"/>
        <v>1.2195444402522577</v>
      </c>
      <c r="AO16" s="282"/>
    </row>
    <row r="17" spans="1:41" x14ac:dyDescent="0.3">
      <c r="A17" s="267" t="s">
        <v>302</v>
      </c>
      <c r="B17" s="1332">
        <v>1139026.9566666668</v>
      </c>
      <c r="C17" s="1355">
        <v>116464.62</v>
      </c>
      <c r="D17" s="1361">
        <f>B17-C17</f>
        <v>1022562.3366666668</v>
      </c>
      <c r="E17" s="1336">
        <v>3818175.0699999994</v>
      </c>
      <c r="F17" s="1348">
        <v>189959.88</v>
      </c>
      <c r="G17" s="1341"/>
      <c r="H17" s="263">
        <f>E17-(F17+G17)</f>
        <v>3628215.1899999995</v>
      </c>
      <c r="I17" s="337">
        <f>T17*U17</f>
        <v>1.02421349604</v>
      </c>
      <c r="J17" s="1384"/>
      <c r="K17" s="1367"/>
      <c r="L17" s="1367"/>
      <c r="M17" s="1367"/>
      <c r="N17" s="1367"/>
      <c r="O17" s="1367"/>
      <c r="P17" s="1367"/>
      <c r="Q17" s="1367"/>
      <c r="R17" s="1367"/>
      <c r="S17" s="1367"/>
      <c r="T17" s="1367">
        <f>102.299/100</f>
        <v>1.0229900000000001</v>
      </c>
      <c r="U17" s="1368">
        <f>100.1196/100</f>
        <v>1.001196</v>
      </c>
      <c r="V17" s="264">
        <f>H17*I17</f>
        <v>3716066.9641353325</v>
      </c>
      <c r="W17" s="265">
        <v>0.06</v>
      </c>
      <c r="X17" s="850">
        <f>Y17*Z17*AA17*AB17*AC17*AD17*AE17*AF17*AG17*AH17</f>
        <v>0</v>
      </c>
      <c r="Y17" s="329"/>
      <c r="Z17" s="334"/>
      <c r="AA17" s="334"/>
      <c r="AB17" s="334"/>
      <c r="AC17" s="334"/>
      <c r="AD17" s="334"/>
      <c r="AE17" s="334"/>
      <c r="AF17" s="334"/>
      <c r="AG17" s="334"/>
      <c r="AH17" s="334"/>
      <c r="AI17" s="314"/>
      <c r="AJ17" s="321"/>
      <c r="AK17" s="295">
        <f>V17+V17*W17</f>
        <v>3939030.9819834526</v>
      </c>
      <c r="AL17" s="265">
        <f>AM17/AK17</f>
        <v>1.1519238695324217</v>
      </c>
      <c r="AM17" s="266">
        <f>(AM20-AM16)/(AK20-AK16)*AK17</f>
        <v>4537463.8109744731</v>
      </c>
      <c r="AN17" s="280">
        <f t="shared" si="1"/>
        <v>1.2506049320008701</v>
      </c>
    </row>
    <row r="18" spans="1:41" x14ac:dyDescent="0.3">
      <c r="A18" s="267" t="s">
        <v>303</v>
      </c>
      <c r="B18" s="1333">
        <v>1048594.9683333333</v>
      </c>
      <c r="C18" s="1356">
        <v>26162.3</v>
      </c>
      <c r="D18" s="1362">
        <f>B18-C18</f>
        <v>1022432.6683333332</v>
      </c>
      <c r="E18" s="1337">
        <v>3270797.44</v>
      </c>
      <c r="F18" s="1349">
        <v>175420.32</v>
      </c>
      <c r="G18" s="1342"/>
      <c r="H18" s="268">
        <f>E18-(F18+G18)</f>
        <v>3095377.12</v>
      </c>
      <c r="I18" s="338">
        <f>U18</f>
        <v>1.001196</v>
      </c>
      <c r="J18" s="1386"/>
      <c r="K18" s="1369"/>
      <c r="L18" s="1369"/>
      <c r="M18" s="1369"/>
      <c r="N18" s="1369"/>
      <c r="O18" s="1369"/>
      <c r="P18" s="1369"/>
      <c r="Q18" s="1369"/>
      <c r="R18" s="1369"/>
      <c r="S18" s="1369"/>
      <c r="T18" s="1369"/>
      <c r="U18" s="1370">
        <f>100.1196/100</f>
        <v>1.001196</v>
      </c>
      <c r="V18" s="269">
        <f>H18*I18</f>
        <v>3099079.1910355198</v>
      </c>
      <c r="W18" s="270">
        <v>0.06</v>
      </c>
      <c r="X18" s="851">
        <f>Y18*Z18*AA18*AB18*AC18*AD18*AE18*AF18*AG18*AH18*AI18</f>
        <v>0</v>
      </c>
      <c r="Y18" s="330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6"/>
      <c r="AK18" s="296">
        <f>V18+V18*W18</f>
        <v>3285023.9424976511</v>
      </c>
      <c r="AL18" s="270">
        <f>AM18/AK18</f>
        <v>1.1519238695324217</v>
      </c>
      <c r="AM18" s="271">
        <f>(AM20-AM16)/(AK20-AK16)*AK18</f>
        <v>3784097.4913485455</v>
      </c>
      <c r="AN18" s="280">
        <f t="shared" si="1"/>
        <v>1.2224996647092052</v>
      </c>
    </row>
    <row r="19" spans="1:41" ht="19.5" thickBot="1" x14ac:dyDescent="0.35">
      <c r="A19" s="267" t="s">
        <v>304</v>
      </c>
      <c r="B19" s="1334">
        <f>796659.936666667-13.81</f>
        <v>796646.12666666694</v>
      </c>
      <c r="C19" s="1357">
        <v>146015.59333333332</v>
      </c>
      <c r="D19" s="1363">
        <f>B19-C19</f>
        <v>650630.53333333367</v>
      </c>
      <c r="E19" s="1338">
        <v>1539000.85</v>
      </c>
      <c r="F19" s="1350">
        <v>68135.55</v>
      </c>
      <c r="G19" s="1343">
        <v>29713.720000000005</v>
      </c>
      <c r="H19" s="298">
        <f>E19-(F19+G19)</f>
        <v>1441151.58</v>
      </c>
      <c r="I19" s="339">
        <v>1</v>
      </c>
      <c r="J19" s="1388"/>
      <c r="K19" s="1371"/>
      <c r="L19" s="1371"/>
      <c r="M19" s="1371"/>
      <c r="N19" s="1371"/>
      <c r="O19" s="1371"/>
      <c r="P19" s="1371"/>
      <c r="Q19" s="1371"/>
      <c r="R19" s="1371"/>
      <c r="S19" s="1371"/>
      <c r="T19" s="1371"/>
      <c r="U19" s="1372"/>
      <c r="V19" s="299">
        <f>H19*I19</f>
        <v>1441151.58</v>
      </c>
      <c r="W19" s="301">
        <v>0.06</v>
      </c>
      <c r="X19" s="852">
        <f>Y19*Z19*AA19*AB19*AC19*AD19*AE19*AF19*AG19*AH19*AI19*AJ19</f>
        <v>0</v>
      </c>
      <c r="Y19" s="332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5"/>
      <c r="AK19" s="300">
        <f>V19+V19*W19</f>
        <v>1527620.6748000002</v>
      </c>
      <c r="AL19" s="301">
        <f>AM19/AK19</f>
        <v>1.1519238695324217</v>
      </c>
      <c r="AM19" s="302">
        <f>(AM20-AM16)/(AK20-AK16)*AK19</f>
        <v>1759702.7188933452</v>
      </c>
      <c r="AN19" s="280">
        <f t="shared" si="1"/>
        <v>1.221039301704367</v>
      </c>
    </row>
    <row r="20" spans="1:41" s="281" customFormat="1" ht="20.25" thickBot="1" x14ac:dyDescent="0.25">
      <c r="A20" s="272" t="s">
        <v>305</v>
      </c>
      <c r="B20" s="1335">
        <f t="shared" ref="B20:H20" si="6">SUM(B17:B19)+B16</f>
        <v>16866365.305102874</v>
      </c>
      <c r="C20" s="1358">
        <f t="shared" si="6"/>
        <v>2374391.25</v>
      </c>
      <c r="D20" s="1364">
        <f t="shared" si="6"/>
        <v>14491974.055102875</v>
      </c>
      <c r="E20" s="1339">
        <f t="shared" si="6"/>
        <v>24461517.748</v>
      </c>
      <c r="F20" s="1351">
        <f t="shared" si="6"/>
        <v>2713255.2</v>
      </c>
      <c r="G20" s="1344">
        <f t="shared" si="6"/>
        <v>293574.58</v>
      </c>
      <c r="H20" s="273">
        <f t="shared" si="6"/>
        <v>21454687.968000002</v>
      </c>
      <c r="I20" s="283">
        <f>V20/H20</f>
        <v>1.0508781103160409</v>
      </c>
      <c r="J20" s="275"/>
      <c r="K20" s="276"/>
      <c r="L20" s="1373"/>
      <c r="M20" s="1373"/>
      <c r="N20" s="1373"/>
      <c r="O20" s="276"/>
      <c r="P20" s="1373"/>
      <c r="Q20" s="1373"/>
      <c r="R20" s="1373"/>
      <c r="S20" s="1373"/>
      <c r="T20" s="1373"/>
      <c r="U20" s="1374"/>
      <c r="V20" s="273">
        <f>SUM(V17:V19)+V16</f>
        <v>22546261.949232142</v>
      </c>
      <c r="W20" s="1401">
        <f>AK20/V20-100%</f>
        <v>6.0000000000000053E-2</v>
      </c>
      <c r="X20" s="853"/>
      <c r="Y20" s="326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8"/>
      <c r="AK20" s="279">
        <f>SUM(AK17:AK19)+AK16</f>
        <v>23899037.666186072</v>
      </c>
      <c r="AL20" s="278">
        <v>1.1000000000000001</v>
      </c>
      <c r="AM20" s="279">
        <f>AK20*AL20</f>
        <v>26288941.432804681</v>
      </c>
      <c r="AN20" s="340">
        <f t="shared" si="1"/>
        <v>1.2253238766285039</v>
      </c>
      <c r="AO20" s="282"/>
    </row>
    <row r="21" spans="1:41" x14ac:dyDescent="0.3">
      <c r="AM21" s="286"/>
    </row>
    <row r="24" spans="1:41" x14ac:dyDescent="0.3">
      <c r="A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</row>
    <row r="25" spans="1:41" s="281" customFormat="1" x14ac:dyDescent="0.3">
      <c r="A25" s="287"/>
      <c r="B25" s="1329"/>
      <c r="C25" s="1329"/>
      <c r="I25" s="288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AL25" s="289"/>
      <c r="AN25" s="280"/>
    </row>
    <row r="26" spans="1:41" x14ac:dyDescent="0.3">
      <c r="A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</row>
    <row r="30" spans="1:41" s="281" customFormat="1" x14ac:dyDescent="0.2">
      <c r="A30" s="290"/>
      <c r="B30" s="1329"/>
      <c r="C30" s="1329"/>
      <c r="I30" s="288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AL30" s="289"/>
      <c r="AN30" s="280"/>
    </row>
    <row r="31" spans="1:41" s="281" customFormat="1" x14ac:dyDescent="0.2">
      <c r="A31" s="291"/>
      <c r="B31" s="1329"/>
      <c r="C31" s="1329"/>
      <c r="I31" s="288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AL31" s="289"/>
      <c r="AN31" s="280"/>
    </row>
    <row r="32" spans="1:41" s="281" customFormat="1" x14ac:dyDescent="0.2">
      <c r="A32" s="291"/>
      <c r="B32" s="1329"/>
      <c r="C32" s="1329"/>
      <c r="I32" s="288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AL32" s="289"/>
      <c r="AN32" s="280"/>
    </row>
    <row r="33" spans="1:40" s="281" customFormat="1" x14ac:dyDescent="0.2">
      <c r="A33" s="291"/>
      <c r="B33" s="1329"/>
      <c r="C33" s="1329"/>
      <c r="I33" s="288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AL33" s="289"/>
      <c r="AN33" s="280"/>
    </row>
    <row r="34" spans="1:40" s="281" customFormat="1" x14ac:dyDescent="0.2">
      <c r="A34" s="291"/>
      <c r="B34" s="1329"/>
      <c r="C34" s="1329"/>
      <c r="I34" s="288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AL34" s="289"/>
      <c r="AN34" s="280"/>
    </row>
    <row r="35" spans="1:40" s="281" customFormat="1" x14ac:dyDescent="0.2">
      <c r="A35" s="291"/>
      <c r="B35" s="1329"/>
      <c r="C35" s="1329"/>
      <c r="I35" s="288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AL35" s="289"/>
      <c r="AN35" s="280"/>
    </row>
    <row r="36" spans="1:40" s="281" customFormat="1" x14ac:dyDescent="0.2">
      <c r="A36" s="291"/>
      <c r="B36" s="1329"/>
      <c r="C36" s="1329"/>
      <c r="I36" s="288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AL36" s="289"/>
      <c r="AN36" s="280"/>
    </row>
    <row r="37" spans="1:40" s="281" customFormat="1" x14ac:dyDescent="0.2">
      <c r="A37" s="291"/>
      <c r="B37" s="1329"/>
      <c r="C37" s="1329"/>
      <c r="I37" s="288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AL37" s="289"/>
      <c r="AN37" s="280"/>
    </row>
    <row r="38" spans="1:40" x14ac:dyDescent="0.3">
      <c r="A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</row>
    <row r="39" spans="1:40" x14ac:dyDescent="0.3">
      <c r="A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</row>
    <row r="42" spans="1:40" x14ac:dyDescent="0.3">
      <c r="A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</row>
    <row r="43" spans="1:40" x14ac:dyDescent="0.3">
      <c r="A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</row>
    <row r="44" spans="1:40" x14ac:dyDescent="0.3">
      <c r="A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</row>
    <row r="47" spans="1:40" x14ac:dyDescent="0.3">
      <c r="A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</row>
    <row r="50" spans="1:40" x14ac:dyDescent="0.3">
      <c r="A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AL50" s="253"/>
      <c r="AN50" s="253"/>
    </row>
    <row r="51" spans="1:40" x14ac:dyDescent="0.3">
      <c r="A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AL51" s="253"/>
      <c r="AN51" s="253"/>
    </row>
    <row r="58" spans="1:40" x14ac:dyDescent="0.3">
      <c r="A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AL58" s="253"/>
      <c r="AN58" s="253"/>
    </row>
    <row r="59" spans="1:40" x14ac:dyDescent="0.3">
      <c r="A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AL59" s="253"/>
      <c r="AN59" s="253"/>
    </row>
    <row r="60" spans="1:40" x14ac:dyDescent="0.3">
      <c r="A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AL60" s="253"/>
      <c r="AN60" s="253"/>
    </row>
    <row r="69" spans="1:40" x14ac:dyDescent="0.3">
      <c r="A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AL69" s="253"/>
      <c r="AN69" s="253"/>
    </row>
    <row r="71" spans="1:40" x14ac:dyDescent="0.3">
      <c r="A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AL71" s="253"/>
      <c r="AN71" s="253"/>
    </row>
    <row r="72" spans="1:40" x14ac:dyDescent="0.3">
      <c r="A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AL72" s="253"/>
      <c r="AN72" s="253"/>
    </row>
    <row r="73" spans="1:40" x14ac:dyDescent="0.3">
      <c r="A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AL73" s="253"/>
      <c r="AN73" s="253"/>
    </row>
    <row r="76" spans="1:40" x14ac:dyDescent="0.3">
      <c r="A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AL76" s="253"/>
      <c r="AN76" s="253"/>
    </row>
    <row r="77" spans="1:40" x14ac:dyDescent="0.3">
      <c r="A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AL77" s="253"/>
      <c r="AN77" s="253"/>
    </row>
    <row r="78" spans="1:40" x14ac:dyDescent="0.3">
      <c r="A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AL78" s="253"/>
      <c r="AN78" s="253"/>
    </row>
    <row r="79" spans="1:40" x14ac:dyDescent="0.3">
      <c r="A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AL79" s="253"/>
      <c r="AN79" s="253"/>
    </row>
    <row r="80" spans="1:40" x14ac:dyDescent="0.3">
      <c r="A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AL80" s="253"/>
      <c r="AN80" s="253"/>
    </row>
    <row r="81" spans="1:40" x14ac:dyDescent="0.3">
      <c r="A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AL81" s="253"/>
      <c r="AN81" s="253"/>
    </row>
    <row r="83" spans="1:40" x14ac:dyDescent="0.3">
      <c r="A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AL83" s="253"/>
      <c r="AN83" s="253"/>
    </row>
    <row r="85" spans="1:40" x14ac:dyDescent="0.3">
      <c r="A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AL85" s="253"/>
      <c r="AN85" s="253"/>
    </row>
    <row r="86" spans="1:40" x14ac:dyDescent="0.3">
      <c r="A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AL86" s="253"/>
      <c r="AN86" s="253"/>
    </row>
  </sheetData>
  <mergeCells count="2">
    <mergeCell ref="A1:AO1"/>
    <mergeCell ref="A2:A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W10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6" sqref="O16"/>
    </sheetView>
  </sheetViews>
  <sheetFormatPr defaultColWidth="4.7109375" defaultRowHeight="15.75" x14ac:dyDescent="0.25"/>
  <cols>
    <col min="1" max="1" width="3.7109375" style="4" customWidth="1"/>
    <col min="2" max="2" width="68.5703125" style="4" customWidth="1"/>
    <col min="3" max="3" width="13.28515625" style="4" customWidth="1"/>
    <col min="4" max="4" width="10.85546875" style="4" customWidth="1"/>
    <col min="5" max="10" width="5.7109375" style="5" customWidth="1"/>
    <col min="11" max="11" width="5.7109375" style="4" customWidth="1"/>
    <col min="12" max="12" width="9.85546875" style="431" customWidth="1"/>
    <col min="13" max="13" width="6.42578125" style="431" customWidth="1"/>
    <col min="14" max="14" width="6.5703125" style="431" customWidth="1"/>
    <col min="15" max="15" width="5.7109375" style="431" customWidth="1"/>
    <col min="16" max="16" width="8.140625" style="431" customWidth="1"/>
    <col min="17" max="17" width="9" style="431" customWidth="1"/>
    <col min="18" max="18" width="10.140625" style="431" customWidth="1"/>
    <col min="19" max="19" width="5.7109375" style="431" customWidth="1"/>
    <col min="20" max="20" width="8.42578125" style="431" customWidth="1"/>
    <col min="21" max="21" width="6.7109375" style="431" customWidth="1"/>
    <col min="22" max="23" width="5.7109375" style="431" customWidth="1"/>
    <col min="24" max="24" width="11.5703125" style="431" customWidth="1"/>
    <col min="25" max="25" width="8.85546875" style="431" customWidth="1"/>
    <col min="26" max="26" width="8.28515625" style="431" customWidth="1"/>
    <col min="27" max="28" width="8.85546875" style="431" customWidth="1"/>
    <col min="29" max="29" width="8.5703125" style="431" customWidth="1"/>
    <col min="30" max="30" width="8.42578125" style="431" customWidth="1"/>
    <col min="31" max="31" width="9.42578125" style="431" customWidth="1"/>
    <col min="32" max="32" width="8.5703125" style="431" customWidth="1"/>
    <col min="33" max="34" width="5.7109375" style="431" customWidth="1"/>
    <col min="35" max="35" width="7.28515625" style="431" customWidth="1"/>
    <col min="36" max="36" width="8.28515625" style="4" customWidth="1"/>
    <col min="37" max="37" width="5.7109375" style="4" customWidth="1"/>
    <col min="38" max="38" width="9" style="4" customWidth="1"/>
    <col min="39" max="39" width="8.28515625" style="4" customWidth="1"/>
    <col min="40" max="40" width="5.7109375" style="4" customWidth="1"/>
    <col min="41" max="41" width="8.42578125" style="4" customWidth="1"/>
    <col min="42" max="42" width="7.42578125" style="4" customWidth="1"/>
    <col min="43" max="54" width="5.7109375" style="4" customWidth="1"/>
    <col min="55" max="55" width="6.5703125" style="4" customWidth="1"/>
    <col min="56" max="62" width="5.7109375" style="4" customWidth="1"/>
    <col min="63" max="64" width="5.7109375" style="436" customWidth="1"/>
    <col min="65" max="65" width="5.7109375" style="4" customWidth="1"/>
    <col min="66" max="66" width="8.5703125" style="4" customWidth="1"/>
    <col min="67" max="77" width="5.7109375" style="4" customWidth="1"/>
    <col min="78" max="79" width="6.28515625" style="4" customWidth="1"/>
    <col min="80" max="80" width="6.7109375" style="4" customWidth="1"/>
    <col min="81" max="82" width="5.7109375" style="4" customWidth="1"/>
    <col min="83" max="83" width="6.7109375" style="4" customWidth="1"/>
    <col min="84" max="86" width="5.7109375" style="4" customWidth="1"/>
    <col min="87" max="87" width="5.7109375" style="444" customWidth="1"/>
    <col min="88" max="88" width="6.42578125" style="4" customWidth="1"/>
    <col min="89" max="95" width="5.7109375" style="4" customWidth="1"/>
    <col min="96" max="96" width="9.28515625" style="4" customWidth="1"/>
    <col min="97" max="136" width="5.7109375" style="4" customWidth="1"/>
    <col min="137" max="137" width="6.42578125" style="4" customWidth="1"/>
    <col min="138" max="146" width="5.7109375" style="4" customWidth="1"/>
    <col min="147" max="147" width="6.5703125" style="4" customWidth="1"/>
    <col min="148" max="168" width="5.7109375" style="4" customWidth="1"/>
    <col min="169" max="169" width="6" style="4" customWidth="1"/>
    <col min="170" max="178" width="5.7109375" style="4" customWidth="1"/>
    <col min="179" max="16384" width="4.7109375" style="4"/>
  </cols>
  <sheetData>
    <row r="1" spans="1:179" ht="15.75" customHeight="1" x14ac:dyDescent="0.25">
      <c r="A1" s="2035"/>
      <c r="B1" s="2035"/>
      <c r="C1" s="2035"/>
      <c r="D1" s="2035"/>
      <c r="E1" s="2035"/>
      <c r="F1" s="2035"/>
      <c r="G1" s="2035"/>
      <c r="H1" s="2035"/>
      <c r="I1" s="2035"/>
      <c r="J1" s="2035"/>
      <c r="K1" s="2035"/>
      <c r="L1" s="2035"/>
      <c r="M1" s="2035"/>
      <c r="N1" s="2035"/>
      <c r="O1" s="2035"/>
      <c r="P1" s="2035"/>
      <c r="Q1" s="2035"/>
      <c r="R1" s="2035"/>
      <c r="S1" s="2035"/>
      <c r="T1" s="2035"/>
      <c r="U1" s="2035"/>
      <c r="V1" s="2035"/>
      <c r="W1" s="2035"/>
      <c r="X1" s="2035"/>
      <c r="Y1" s="2035"/>
      <c r="Z1" s="2035"/>
      <c r="AA1" s="2035"/>
      <c r="AB1" s="2035"/>
      <c r="AC1" s="2035"/>
      <c r="AD1" s="2035"/>
      <c r="AE1" s="2035"/>
      <c r="AF1" s="2035"/>
      <c r="AG1" s="2035"/>
      <c r="AH1" s="2035"/>
      <c r="AI1" s="2035"/>
      <c r="AJ1" s="2035"/>
      <c r="AK1" s="2035"/>
      <c r="AL1" s="2035"/>
      <c r="AM1" s="2035"/>
      <c r="AN1" s="2035"/>
      <c r="AO1" s="2035"/>
      <c r="AP1" s="2035"/>
      <c r="AQ1" s="2035"/>
      <c r="AR1" s="2035"/>
      <c r="AS1" s="2035"/>
      <c r="AT1" s="2035"/>
      <c r="AU1" s="2035"/>
      <c r="AV1" s="2035"/>
      <c r="AW1" s="2035"/>
      <c r="AX1" s="2035"/>
      <c r="AY1" s="2035"/>
      <c r="AZ1" s="2035"/>
      <c r="BA1" s="2035"/>
      <c r="BB1" s="2035"/>
      <c r="BC1" s="2035"/>
      <c r="BD1" s="2035"/>
      <c r="BE1" s="2035"/>
      <c r="BF1" s="2035"/>
      <c r="BG1" s="2035"/>
      <c r="BH1" s="2035"/>
      <c r="BI1" s="2035"/>
      <c r="BJ1" s="2035"/>
      <c r="BK1" s="2035"/>
      <c r="BL1" s="2035"/>
      <c r="BM1" s="2035"/>
      <c r="BN1" s="2035"/>
      <c r="BO1" s="2035"/>
      <c r="BP1" s="2035"/>
      <c r="BQ1" s="2035"/>
      <c r="BR1" s="2035"/>
      <c r="BS1" s="2035"/>
      <c r="BT1" s="2035"/>
      <c r="BU1" s="2035"/>
      <c r="BV1" s="2035"/>
      <c r="BW1" s="2035"/>
      <c r="BX1" s="2035"/>
      <c r="BY1" s="2035"/>
      <c r="BZ1" s="2035"/>
      <c r="CA1" s="2035"/>
      <c r="CB1" s="2035"/>
      <c r="CC1" s="2035"/>
      <c r="CD1" s="2035"/>
      <c r="CE1" s="2035"/>
      <c r="CF1" s="2035"/>
      <c r="CG1" s="2035"/>
      <c r="CH1" s="2035"/>
      <c r="CI1" s="2035"/>
      <c r="CJ1" s="2035"/>
      <c r="CK1" s="2035"/>
      <c r="CL1" s="2035"/>
      <c r="CM1" s="2035"/>
      <c r="CN1" s="2035"/>
      <c r="CO1" s="2035"/>
      <c r="CP1" s="2035"/>
      <c r="CQ1" s="2035"/>
      <c r="CR1" s="2035"/>
      <c r="CS1" s="2035"/>
      <c r="CT1" s="2035"/>
      <c r="CU1" s="2035"/>
      <c r="CV1" s="2035"/>
      <c r="CW1" s="2035"/>
      <c r="CX1" s="2035"/>
      <c r="CY1" s="2035"/>
      <c r="CZ1" s="2035"/>
      <c r="DA1" s="2035"/>
      <c r="DB1" s="2035"/>
      <c r="DC1" s="2035"/>
      <c r="DD1" s="2035"/>
      <c r="DE1" s="2035"/>
      <c r="DF1" s="2035"/>
      <c r="DG1" s="2035"/>
      <c r="DH1" s="2035"/>
      <c r="DI1" s="2035"/>
      <c r="DJ1" s="2035"/>
      <c r="DK1" s="2035"/>
      <c r="DL1" s="2035"/>
      <c r="DM1" s="2035"/>
      <c r="DN1" s="2035"/>
      <c r="DO1" s="2035"/>
      <c r="DP1" s="2035"/>
      <c r="DQ1" s="2035"/>
      <c r="DR1" s="2035"/>
      <c r="DS1" s="2035"/>
      <c r="DT1" s="2035"/>
      <c r="DU1" s="2035"/>
      <c r="DV1" s="2035"/>
      <c r="DW1" s="2035"/>
      <c r="DX1" s="2035"/>
      <c r="DY1" s="2035"/>
      <c r="DZ1" s="2035"/>
      <c r="EA1" s="2035"/>
      <c r="EB1" s="2035"/>
      <c r="EC1" s="2035"/>
      <c r="ED1" s="2035"/>
      <c r="EE1" s="2035"/>
      <c r="EF1" s="2035"/>
      <c r="EG1" s="2035"/>
      <c r="EH1" s="2035"/>
      <c r="EI1" s="2035"/>
      <c r="EJ1" s="2035"/>
      <c r="EK1" s="2035"/>
      <c r="EL1" s="2035"/>
      <c r="EM1" s="2035"/>
      <c r="EN1" s="2035"/>
      <c r="EO1" s="2035"/>
      <c r="EP1" s="2035"/>
      <c r="EQ1" s="2035"/>
      <c r="ER1" s="2035"/>
      <c r="ES1" s="2035"/>
      <c r="ET1" s="2035"/>
      <c r="EU1" s="2035"/>
      <c r="EV1" s="2035"/>
      <c r="EW1" s="2035"/>
      <c r="EX1" s="2035"/>
      <c r="EY1" s="2035"/>
      <c r="EZ1" s="2035"/>
      <c r="FA1" s="2035"/>
      <c r="FB1" s="2035"/>
      <c r="FC1" s="2035"/>
      <c r="FD1" s="2035"/>
      <c r="FE1" s="2035"/>
      <c r="FF1" s="2035"/>
      <c r="FG1" s="2035"/>
      <c r="FH1" s="2035"/>
      <c r="FI1" s="2035"/>
      <c r="FJ1" s="2035"/>
      <c r="FK1" s="2035"/>
      <c r="FL1" s="2035"/>
      <c r="FM1" s="2035"/>
    </row>
    <row r="2" spans="1:179" ht="3.75" customHeight="1" thickBot="1" x14ac:dyDescent="0.3">
      <c r="AU2" s="2036"/>
      <c r="AV2" s="2036"/>
      <c r="AW2" s="2036"/>
      <c r="AX2" s="2036"/>
      <c r="AZ2" s="19"/>
      <c r="BA2" s="19"/>
      <c r="BB2" s="19"/>
      <c r="BC2" s="19"/>
    </row>
    <row r="3" spans="1:179" s="6" customFormat="1" ht="22.5" customHeight="1" x14ac:dyDescent="0.25">
      <c r="A3" s="2037"/>
      <c r="B3" s="2040" t="s">
        <v>4</v>
      </c>
      <c r="C3" s="2041" t="s">
        <v>330</v>
      </c>
      <c r="D3" s="2044" t="s">
        <v>331</v>
      </c>
      <c r="E3" s="2047" t="s">
        <v>332</v>
      </c>
      <c r="F3" s="2048" t="s">
        <v>5</v>
      </c>
      <c r="G3" s="2049"/>
      <c r="H3" s="2049"/>
      <c r="I3" s="2049"/>
      <c r="J3" s="2049"/>
      <c r="K3" s="2050"/>
      <c r="L3" s="2051" t="s">
        <v>333</v>
      </c>
      <c r="M3" s="2054" t="s">
        <v>21</v>
      </c>
      <c r="N3" s="2055"/>
      <c r="O3" s="2055"/>
      <c r="P3" s="2055"/>
      <c r="Q3" s="2055"/>
      <c r="R3" s="2055"/>
      <c r="S3" s="2055"/>
      <c r="T3" s="2055"/>
      <c r="U3" s="2055"/>
      <c r="V3" s="2056"/>
      <c r="W3" s="2051" t="s">
        <v>6</v>
      </c>
      <c r="X3" s="2059" t="s">
        <v>334</v>
      </c>
      <c r="Y3" s="2060"/>
      <c r="Z3" s="2060"/>
      <c r="AA3" s="2061"/>
      <c r="AB3" s="2059" t="s">
        <v>282</v>
      </c>
      <c r="AC3" s="2060"/>
      <c r="AD3" s="2060"/>
      <c r="AE3" s="2061"/>
      <c r="AF3" s="2062"/>
      <c r="AG3" s="2063"/>
      <c r="AH3" s="2063"/>
      <c r="AI3" s="2064"/>
      <c r="AJ3" s="2057" t="s">
        <v>335</v>
      </c>
      <c r="AK3" s="2057" t="s">
        <v>7</v>
      </c>
      <c r="AL3" s="2057" t="s">
        <v>8</v>
      </c>
      <c r="AM3" s="2058" t="s">
        <v>9</v>
      </c>
      <c r="AN3" s="2057" t="s">
        <v>336</v>
      </c>
      <c r="AO3" s="2057" t="s">
        <v>45</v>
      </c>
      <c r="AP3" s="2057" t="s">
        <v>10</v>
      </c>
      <c r="AQ3" s="2057" t="s">
        <v>11</v>
      </c>
      <c r="AR3" s="2057" t="s">
        <v>12</v>
      </c>
      <c r="AS3" s="2032" t="s">
        <v>71</v>
      </c>
      <c r="AT3" s="2057" t="s">
        <v>13</v>
      </c>
      <c r="AU3" s="2057" t="s">
        <v>72</v>
      </c>
      <c r="AV3" s="2057" t="s">
        <v>14</v>
      </c>
      <c r="AW3" s="2057" t="s">
        <v>122</v>
      </c>
      <c r="AX3" s="2057" t="s">
        <v>102</v>
      </c>
      <c r="AY3" s="2057" t="s">
        <v>15</v>
      </c>
      <c r="AZ3" s="2057" t="s">
        <v>72</v>
      </c>
      <c r="BA3" s="2057" t="s">
        <v>337</v>
      </c>
      <c r="BB3" s="2057" t="s">
        <v>16</v>
      </c>
      <c r="BC3" s="2066" t="s">
        <v>338</v>
      </c>
      <c r="BD3" s="2070" t="s">
        <v>32</v>
      </c>
      <c r="BE3" s="2070" t="s">
        <v>61</v>
      </c>
      <c r="BF3" s="2070" t="s">
        <v>30</v>
      </c>
      <c r="BG3" s="2070" t="s">
        <v>3</v>
      </c>
      <c r="BH3" s="2057" t="s">
        <v>40</v>
      </c>
      <c r="BI3" s="2057" t="s">
        <v>41</v>
      </c>
      <c r="BJ3" s="2057" t="s">
        <v>20</v>
      </c>
      <c r="BK3" s="2057" t="s">
        <v>339</v>
      </c>
      <c r="BL3" s="2057" t="s">
        <v>340</v>
      </c>
      <c r="BM3" s="2070" t="s">
        <v>62</v>
      </c>
      <c r="BN3" s="2070" t="s">
        <v>63</v>
      </c>
      <c r="BO3" s="2066" t="s">
        <v>31</v>
      </c>
      <c r="BP3" s="2066" t="s">
        <v>44</v>
      </c>
      <c r="BQ3" s="2066" t="s">
        <v>42</v>
      </c>
      <c r="BR3" s="2067" t="s">
        <v>117</v>
      </c>
      <c r="BS3" s="2067" t="s">
        <v>118</v>
      </c>
      <c r="BT3" s="2066" t="s">
        <v>103</v>
      </c>
      <c r="BU3" s="2066" t="s">
        <v>125</v>
      </c>
      <c r="BV3" s="2066" t="s">
        <v>33</v>
      </c>
      <c r="BW3" s="2071" t="s">
        <v>34</v>
      </c>
      <c r="BX3" s="2071" t="s">
        <v>35</v>
      </c>
      <c r="BY3" s="2071" t="s">
        <v>36</v>
      </c>
      <c r="BZ3" s="2071" t="s">
        <v>70</v>
      </c>
      <c r="CA3" s="2071" t="s">
        <v>105</v>
      </c>
      <c r="CB3" s="2071" t="s">
        <v>108</v>
      </c>
      <c r="CC3" s="2067" t="s">
        <v>106</v>
      </c>
      <c r="CD3" s="2071" t="s">
        <v>37</v>
      </c>
      <c r="CE3" s="2071" t="s">
        <v>38</v>
      </c>
      <c r="CF3" s="2067" t="s">
        <v>104</v>
      </c>
      <c r="CG3" s="2072" t="s">
        <v>52</v>
      </c>
      <c r="CH3" s="2057" t="s">
        <v>69</v>
      </c>
      <c r="CI3" s="2057" t="s">
        <v>94</v>
      </c>
      <c r="CJ3" s="2067" t="s">
        <v>107</v>
      </c>
      <c r="CK3" s="2057" t="s">
        <v>60</v>
      </c>
      <c r="CL3" s="2057" t="s">
        <v>86</v>
      </c>
      <c r="CM3" s="2057" t="s">
        <v>85</v>
      </c>
      <c r="CN3" s="2057" t="s">
        <v>68</v>
      </c>
      <c r="CO3" s="2057" t="s">
        <v>341</v>
      </c>
      <c r="CP3" s="2057" t="s">
        <v>48</v>
      </c>
      <c r="CQ3" s="2057" t="s">
        <v>342</v>
      </c>
      <c r="CR3" s="2073" t="s">
        <v>93</v>
      </c>
      <c r="CS3" s="2070" t="s">
        <v>84</v>
      </c>
      <c r="CT3" s="2070" t="s">
        <v>343</v>
      </c>
      <c r="CU3" s="2070" t="s">
        <v>83</v>
      </c>
      <c r="CV3" s="2070" t="s">
        <v>79</v>
      </c>
      <c r="CW3" s="2070" t="s">
        <v>344</v>
      </c>
      <c r="CX3" s="2070" t="s">
        <v>345</v>
      </c>
      <c r="CY3" s="2057" t="s">
        <v>346</v>
      </c>
      <c r="CZ3" s="2070" t="s">
        <v>347</v>
      </c>
      <c r="DA3" s="2057" t="s">
        <v>348</v>
      </c>
      <c r="DB3" s="2057" t="s">
        <v>349</v>
      </c>
      <c r="DC3" s="2076" t="s">
        <v>350</v>
      </c>
      <c r="DD3" s="2057" t="s">
        <v>351</v>
      </c>
      <c r="DE3" s="2057" t="s">
        <v>56</v>
      </c>
      <c r="DF3" s="2070" t="s">
        <v>352</v>
      </c>
      <c r="DG3" s="2070" t="s">
        <v>353</v>
      </c>
      <c r="DH3" s="2057" t="s">
        <v>97</v>
      </c>
      <c r="DI3" s="2070" t="s">
        <v>59</v>
      </c>
      <c r="DJ3" s="2057" t="s">
        <v>43</v>
      </c>
      <c r="DK3" s="2079" t="s">
        <v>111</v>
      </c>
      <c r="DL3" s="2077" t="s">
        <v>109</v>
      </c>
      <c r="DM3" s="2078" t="s">
        <v>90</v>
      </c>
      <c r="DN3" s="2078" t="s">
        <v>92</v>
      </c>
      <c r="DO3" s="2078" t="s">
        <v>112</v>
      </c>
      <c r="DP3" s="2078" t="s">
        <v>91</v>
      </c>
      <c r="DQ3" s="2078" t="s">
        <v>73</v>
      </c>
      <c r="DR3" s="2081" t="s">
        <v>67</v>
      </c>
      <c r="DS3" s="2081" t="s">
        <v>96</v>
      </c>
      <c r="DT3" s="2082" t="s">
        <v>87</v>
      </c>
      <c r="DU3" s="2083" t="s">
        <v>100</v>
      </c>
      <c r="DV3" s="2080" t="s">
        <v>50</v>
      </c>
      <c r="DW3" s="2080" t="s">
        <v>47</v>
      </c>
      <c r="DX3" s="2077" t="s">
        <v>119</v>
      </c>
      <c r="DY3" s="2077" t="s">
        <v>53</v>
      </c>
      <c r="DZ3" s="2080" t="s">
        <v>46</v>
      </c>
      <c r="EA3" s="2077" t="s">
        <v>76</v>
      </c>
      <c r="EB3" s="2077" t="s">
        <v>82</v>
      </c>
      <c r="EC3" s="2079" t="s">
        <v>110</v>
      </c>
      <c r="ED3" s="2087" t="s">
        <v>77</v>
      </c>
      <c r="EE3" s="2087" t="s">
        <v>78</v>
      </c>
      <c r="EF3" s="2080" t="s">
        <v>89</v>
      </c>
      <c r="EG3" s="2077" t="s">
        <v>88</v>
      </c>
      <c r="EH3" s="2080" t="s">
        <v>49</v>
      </c>
      <c r="EI3" s="2077" t="s">
        <v>54</v>
      </c>
      <c r="EJ3" s="2077" t="s">
        <v>95</v>
      </c>
      <c r="EK3" s="2084" t="s">
        <v>58</v>
      </c>
      <c r="EL3" s="2085" t="s">
        <v>57</v>
      </c>
      <c r="EM3" s="2079" t="s">
        <v>120</v>
      </c>
      <c r="EN3" s="2086" t="s">
        <v>65</v>
      </c>
      <c r="EO3" s="2081" t="s">
        <v>51</v>
      </c>
      <c r="EP3" s="2077" t="s">
        <v>123</v>
      </c>
      <c r="EQ3" s="2077" t="s">
        <v>124</v>
      </c>
      <c r="ER3" s="2090" t="s">
        <v>116</v>
      </c>
      <c r="ES3" s="2077" t="s">
        <v>55</v>
      </c>
      <c r="ET3" s="2078" t="s">
        <v>81</v>
      </c>
      <c r="EU3" s="2078" t="s">
        <v>80</v>
      </c>
      <c r="EV3" s="2087" t="s">
        <v>101</v>
      </c>
      <c r="EW3" s="2087" t="s">
        <v>113</v>
      </c>
      <c r="EX3" s="2088" t="s">
        <v>115</v>
      </c>
      <c r="EY3" s="2089" t="s">
        <v>114</v>
      </c>
      <c r="EZ3" s="2077" t="s">
        <v>66</v>
      </c>
      <c r="FA3" s="2077" t="s">
        <v>64</v>
      </c>
      <c r="FB3" s="2077" t="s">
        <v>75</v>
      </c>
      <c r="FC3" s="2101" t="s">
        <v>425</v>
      </c>
      <c r="FD3" s="2101" t="s">
        <v>130</v>
      </c>
      <c r="FE3" s="2101" t="s">
        <v>131</v>
      </c>
      <c r="FF3" s="2102" t="s">
        <v>132</v>
      </c>
      <c r="FG3" s="2077" t="s">
        <v>98</v>
      </c>
      <c r="FH3" s="2080" t="s">
        <v>99</v>
      </c>
      <c r="FI3" s="2090" t="s">
        <v>121</v>
      </c>
      <c r="FJ3" s="2096" t="s">
        <v>127</v>
      </c>
      <c r="FK3" s="2032" t="s">
        <v>126</v>
      </c>
      <c r="FL3" s="2097" t="s">
        <v>128</v>
      </c>
      <c r="FM3" s="2098" t="s">
        <v>354</v>
      </c>
      <c r="FN3" s="2091" t="s">
        <v>437</v>
      </c>
      <c r="FO3" s="2032" t="s">
        <v>480</v>
      </c>
      <c r="FP3" s="2032" t="s">
        <v>519</v>
      </c>
      <c r="FQ3" s="2032" t="s">
        <v>518</v>
      </c>
      <c r="FR3" s="2032" t="s">
        <v>588</v>
      </c>
      <c r="FS3" s="2032" t="s">
        <v>589</v>
      </c>
      <c r="FT3" s="2070" t="s">
        <v>808</v>
      </c>
      <c r="FU3" s="2070" t="s">
        <v>809</v>
      </c>
      <c r="FV3" s="2070" t="s">
        <v>811</v>
      </c>
    </row>
    <row r="4" spans="1:179" s="6" customFormat="1" ht="18.75" customHeight="1" x14ac:dyDescent="0.2">
      <c r="A4" s="2038"/>
      <c r="B4" s="2038"/>
      <c r="C4" s="2042"/>
      <c r="D4" s="2045"/>
      <c r="E4" s="2033"/>
      <c r="F4" s="2094" t="s">
        <v>17</v>
      </c>
      <c r="G4" s="2094" t="s">
        <v>18</v>
      </c>
      <c r="H4" s="2094" t="s">
        <v>0</v>
      </c>
      <c r="I4" s="2094" t="s">
        <v>29</v>
      </c>
      <c r="J4" s="2094" t="s">
        <v>1</v>
      </c>
      <c r="K4" s="2095" t="s">
        <v>355</v>
      </c>
      <c r="L4" s="2052"/>
      <c r="M4" s="2065" t="s">
        <v>22</v>
      </c>
      <c r="N4" s="2065" t="s">
        <v>28</v>
      </c>
      <c r="O4" s="2065" t="s">
        <v>23</v>
      </c>
      <c r="P4" s="2065" t="s">
        <v>356</v>
      </c>
      <c r="Q4" s="2065" t="s">
        <v>39</v>
      </c>
      <c r="R4" s="2065" t="s">
        <v>2</v>
      </c>
      <c r="S4" s="2065" t="s">
        <v>25</v>
      </c>
      <c r="T4" s="2065" t="s">
        <v>24</v>
      </c>
      <c r="U4" s="2065" t="s">
        <v>19</v>
      </c>
      <c r="V4" s="2065" t="s">
        <v>357</v>
      </c>
      <c r="W4" s="2052"/>
      <c r="X4" s="2065" t="s">
        <v>358</v>
      </c>
      <c r="Y4" s="2065" t="s">
        <v>26</v>
      </c>
      <c r="Z4" s="2065" t="s">
        <v>25</v>
      </c>
      <c r="AA4" s="2106" t="s">
        <v>24</v>
      </c>
      <c r="AB4" s="2065" t="s">
        <v>359</v>
      </c>
      <c r="AC4" s="2065" t="s">
        <v>26</v>
      </c>
      <c r="AD4" s="2065" t="s">
        <v>25</v>
      </c>
      <c r="AE4" s="2065" t="s">
        <v>24</v>
      </c>
      <c r="AF4" s="2065" t="s">
        <v>481</v>
      </c>
      <c r="AG4" s="2065" t="s">
        <v>360</v>
      </c>
      <c r="AH4" s="2065" t="s">
        <v>361</v>
      </c>
      <c r="AI4" s="2065" t="s">
        <v>362</v>
      </c>
      <c r="AJ4" s="2033"/>
      <c r="AK4" s="2033"/>
      <c r="AL4" s="2033"/>
      <c r="AM4" s="2033"/>
      <c r="AN4" s="2033"/>
      <c r="AO4" s="2033"/>
      <c r="AP4" s="2033"/>
      <c r="AQ4" s="2033"/>
      <c r="AR4" s="2033"/>
      <c r="AS4" s="2033"/>
      <c r="AT4" s="2033"/>
      <c r="AU4" s="2033"/>
      <c r="AV4" s="2033"/>
      <c r="AW4" s="2033"/>
      <c r="AX4" s="2033"/>
      <c r="AY4" s="2033"/>
      <c r="AZ4" s="2033"/>
      <c r="BA4" s="2033"/>
      <c r="BB4" s="2033"/>
      <c r="BC4" s="2033"/>
      <c r="BD4" s="2033"/>
      <c r="BE4" s="2033"/>
      <c r="BF4" s="2033"/>
      <c r="BG4" s="2033"/>
      <c r="BH4" s="2033"/>
      <c r="BI4" s="2033"/>
      <c r="BJ4" s="2033"/>
      <c r="BK4" s="2068"/>
      <c r="BL4" s="2068"/>
      <c r="BM4" s="2033"/>
      <c r="BN4" s="2033"/>
      <c r="BO4" s="2033"/>
      <c r="BP4" s="2033"/>
      <c r="BQ4" s="2033"/>
      <c r="BR4" s="2033"/>
      <c r="BS4" s="2033"/>
      <c r="BT4" s="2033"/>
      <c r="BU4" s="2033"/>
      <c r="BV4" s="2033"/>
      <c r="BW4" s="2033"/>
      <c r="BX4" s="2033"/>
      <c r="BY4" s="2033"/>
      <c r="BZ4" s="2033"/>
      <c r="CA4" s="2033"/>
      <c r="CB4" s="2033"/>
      <c r="CC4" s="2033"/>
      <c r="CD4" s="2033"/>
      <c r="CE4" s="2033"/>
      <c r="CF4" s="2033"/>
      <c r="CG4" s="2033"/>
      <c r="CH4" s="2033"/>
      <c r="CI4" s="2074"/>
      <c r="CJ4" s="2033"/>
      <c r="CK4" s="2033"/>
      <c r="CL4" s="2033"/>
      <c r="CM4" s="2033"/>
      <c r="CN4" s="2033"/>
      <c r="CO4" s="2033"/>
      <c r="CP4" s="2033"/>
      <c r="CQ4" s="2033"/>
      <c r="CR4" s="2033"/>
      <c r="CS4" s="2033"/>
      <c r="CT4" s="2033"/>
      <c r="CU4" s="2033"/>
      <c r="CV4" s="2033"/>
      <c r="CW4" s="2033"/>
      <c r="CX4" s="2033"/>
      <c r="CY4" s="2033"/>
      <c r="CZ4" s="2033"/>
      <c r="DA4" s="2033"/>
      <c r="DB4" s="2033"/>
      <c r="DC4" s="2033"/>
      <c r="DD4" s="2033"/>
      <c r="DE4" s="2033"/>
      <c r="DF4" s="2033"/>
      <c r="DG4" s="2033"/>
      <c r="DH4" s="2033"/>
      <c r="DI4" s="2033"/>
      <c r="DJ4" s="2033"/>
      <c r="DK4" s="2033"/>
      <c r="DL4" s="2033"/>
      <c r="DM4" s="2033"/>
      <c r="DN4" s="2033"/>
      <c r="DO4" s="2033"/>
      <c r="DP4" s="2033"/>
      <c r="DQ4" s="2033"/>
      <c r="DR4" s="2033"/>
      <c r="DS4" s="2033"/>
      <c r="DT4" s="2033"/>
      <c r="DU4" s="2033"/>
      <c r="DV4" s="2033"/>
      <c r="DW4" s="2033"/>
      <c r="DX4" s="2033"/>
      <c r="DY4" s="2033"/>
      <c r="DZ4" s="2033"/>
      <c r="EA4" s="2033"/>
      <c r="EB4" s="2033"/>
      <c r="EC4" s="2033"/>
      <c r="ED4" s="2033"/>
      <c r="EE4" s="2033"/>
      <c r="EF4" s="2033"/>
      <c r="EG4" s="2033"/>
      <c r="EH4" s="2033"/>
      <c r="EI4" s="2033"/>
      <c r="EJ4" s="2033"/>
      <c r="EK4" s="2033"/>
      <c r="EL4" s="2033"/>
      <c r="EM4" s="2033"/>
      <c r="EN4" s="2033"/>
      <c r="EO4" s="2033"/>
      <c r="EP4" s="2033"/>
      <c r="EQ4" s="2033"/>
      <c r="ER4" s="2033"/>
      <c r="ES4" s="2033"/>
      <c r="ET4" s="2033"/>
      <c r="EU4" s="2033"/>
      <c r="EV4" s="2033"/>
      <c r="EW4" s="2033"/>
      <c r="EX4" s="2033"/>
      <c r="EY4" s="2033"/>
      <c r="EZ4" s="2033"/>
      <c r="FA4" s="2033"/>
      <c r="FB4" s="2033"/>
      <c r="FC4" s="2033"/>
      <c r="FD4" s="2033"/>
      <c r="FE4" s="2033"/>
      <c r="FF4" s="2033"/>
      <c r="FG4" s="2033"/>
      <c r="FH4" s="2033"/>
      <c r="FI4" s="2033"/>
      <c r="FJ4" s="2033"/>
      <c r="FK4" s="2033"/>
      <c r="FL4" s="2033"/>
      <c r="FM4" s="2099"/>
      <c r="FN4" s="2092"/>
      <c r="FO4" s="2033"/>
      <c r="FP4" s="2033"/>
      <c r="FQ4" s="2033"/>
      <c r="FR4" s="2033"/>
      <c r="FS4" s="2033"/>
      <c r="FT4" s="2033"/>
      <c r="FU4" s="2033"/>
      <c r="FV4" s="2033"/>
    </row>
    <row r="5" spans="1:179" s="6" customFormat="1" ht="135" customHeight="1" thickBot="1" x14ac:dyDescent="0.25">
      <c r="A5" s="2039"/>
      <c r="B5" s="2039"/>
      <c r="C5" s="2043"/>
      <c r="D5" s="2046"/>
      <c r="E5" s="2034"/>
      <c r="F5" s="2034"/>
      <c r="G5" s="2034"/>
      <c r="H5" s="2034"/>
      <c r="I5" s="2034"/>
      <c r="J5" s="2034"/>
      <c r="K5" s="2034"/>
      <c r="L5" s="2053"/>
      <c r="M5" s="2053"/>
      <c r="N5" s="2053"/>
      <c r="O5" s="2053"/>
      <c r="P5" s="2053"/>
      <c r="Q5" s="2053"/>
      <c r="R5" s="2053"/>
      <c r="S5" s="2053"/>
      <c r="T5" s="2107"/>
      <c r="U5" s="2053"/>
      <c r="V5" s="2053"/>
      <c r="W5" s="2053"/>
      <c r="X5" s="2053"/>
      <c r="Y5" s="2053"/>
      <c r="Z5" s="2053"/>
      <c r="AA5" s="2053"/>
      <c r="AB5" s="2053"/>
      <c r="AC5" s="2053"/>
      <c r="AD5" s="2053"/>
      <c r="AE5" s="2053"/>
      <c r="AF5" s="2053"/>
      <c r="AG5" s="2053"/>
      <c r="AH5" s="2053"/>
      <c r="AI5" s="2053"/>
      <c r="AJ5" s="2034"/>
      <c r="AK5" s="2034"/>
      <c r="AL5" s="2034"/>
      <c r="AM5" s="2034"/>
      <c r="AN5" s="2034"/>
      <c r="AO5" s="2034"/>
      <c r="AP5" s="2034"/>
      <c r="AQ5" s="2034"/>
      <c r="AR5" s="2034"/>
      <c r="AS5" s="2034"/>
      <c r="AT5" s="2034"/>
      <c r="AU5" s="2034"/>
      <c r="AV5" s="2034"/>
      <c r="AW5" s="2034"/>
      <c r="AX5" s="2034"/>
      <c r="AY5" s="2034"/>
      <c r="AZ5" s="2034"/>
      <c r="BA5" s="2034"/>
      <c r="BB5" s="2034"/>
      <c r="BC5" s="2034"/>
      <c r="BD5" s="2034"/>
      <c r="BE5" s="2034"/>
      <c r="BF5" s="2034"/>
      <c r="BG5" s="2034"/>
      <c r="BH5" s="2034"/>
      <c r="BI5" s="2034"/>
      <c r="BJ5" s="2034"/>
      <c r="BK5" s="2069"/>
      <c r="BL5" s="2069"/>
      <c r="BM5" s="2034"/>
      <c r="BN5" s="2034"/>
      <c r="BO5" s="2034"/>
      <c r="BP5" s="2034"/>
      <c r="BQ5" s="2034"/>
      <c r="BR5" s="2034"/>
      <c r="BS5" s="2034"/>
      <c r="BT5" s="2034"/>
      <c r="BU5" s="2034"/>
      <c r="BV5" s="2034"/>
      <c r="BW5" s="2034"/>
      <c r="BX5" s="2034"/>
      <c r="BY5" s="2034"/>
      <c r="BZ5" s="2034"/>
      <c r="CA5" s="2034"/>
      <c r="CB5" s="2034"/>
      <c r="CC5" s="2034"/>
      <c r="CD5" s="2034"/>
      <c r="CE5" s="2034"/>
      <c r="CF5" s="2034"/>
      <c r="CG5" s="2034"/>
      <c r="CH5" s="2034"/>
      <c r="CI5" s="2075"/>
      <c r="CJ5" s="2034"/>
      <c r="CK5" s="2034"/>
      <c r="CL5" s="2034"/>
      <c r="CM5" s="2034"/>
      <c r="CN5" s="2034"/>
      <c r="CO5" s="2034"/>
      <c r="CP5" s="2034"/>
      <c r="CQ5" s="2034"/>
      <c r="CR5" s="2034"/>
      <c r="CS5" s="2034"/>
      <c r="CT5" s="2034"/>
      <c r="CU5" s="2034"/>
      <c r="CV5" s="2034"/>
      <c r="CW5" s="2034"/>
      <c r="CX5" s="2034"/>
      <c r="CY5" s="2034"/>
      <c r="CZ5" s="2034"/>
      <c r="DA5" s="2034"/>
      <c r="DB5" s="2034"/>
      <c r="DC5" s="2034"/>
      <c r="DD5" s="2034"/>
      <c r="DE5" s="2034"/>
      <c r="DF5" s="2034"/>
      <c r="DG5" s="2034"/>
      <c r="DH5" s="2034"/>
      <c r="DI5" s="2034"/>
      <c r="DJ5" s="2034"/>
      <c r="DK5" s="2034"/>
      <c r="DL5" s="2034"/>
      <c r="DM5" s="2034"/>
      <c r="DN5" s="2034"/>
      <c r="DO5" s="2034"/>
      <c r="DP5" s="2034"/>
      <c r="DQ5" s="2034"/>
      <c r="DR5" s="2034"/>
      <c r="DS5" s="2034"/>
      <c r="DT5" s="2034"/>
      <c r="DU5" s="2034"/>
      <c r="DV5" s="2034"/>
      <c r="DW5" s="2034"/>
      <c r="DX5" s="2034"/>
      <c r="DY5" s="2034"/>
      <c r="DZ5" s="2034"/>
      <c r="EA5" s="2034"/>
      <c r="EB5" s="2034"/>
      <c r="EC5" s="2034"/>
      <c r="ED5" s="2034"/>
      <c r="EE5" s="2034"/>
      <c r="EF5" s="2034"/>
      <c r="EG5" s="2034"/>
      <c r="EH5" s="2034"/>
      <c r="EI5" s="2034"/>
      <c r="EJ5" s="2034"/>
      <c r="EK5" s="2034"/>
      <c r="EL5" s="2034"/>
      <c r="EM5" s="2034"/>
      <c r="EN5" s="2034"/>
      <c r="EO5" s="2034"/>
      <c r="EP5" s="2034"/>
      <c r="EQ5" s="2034"/>
      <c r="ER5" s="2034"/>
      <c r="ES5" s="2034"/>
      <c r="ET5" s="2034"/>
      <c r="EU5" s="2034"/>
      <c r="EV5" s="2034"/>
      <c r="EW5" s="2034"/>
      <c r="EX5" s="2034"/>
      <c r="EY5" s="2034"/>
      <c r="EZ5" s="2034"/>
      <c r="FA5" s="2034"/>
      <c r="FB5" s="2034"/>
      <c r="FC5" s="2034"/>
      <c r="FD5" s="2034"/>
      <c r="FE5" s="2034"/>
      <c r="FF5" s="2034"/>
      <c r="FG5" s="2034"/>
      <c r="FH5" s="2034"/>
      <c r="FI5" s="2034"/>
      <c r="FJ5" s="2034"/>
      <c r="FK5" s="2034"/>
      <c r="FL5" s="2034"/>
      <c r="FM5" s="2100"/>
      <c r="FN5" s="2093"/>
      <c r="FO5" s="2034"/>
      <c r="FP5" s="2034"/>
      <c r="FQ5" s="2034"/>
      <c r="FR5" s="2034"/>
      <c r="FS5" s="2034"/>
      <c r="FT5" s="2034"/>
      <c r="FU5" s="2034"/>
      <c r="FV5" s="2034"/>
    </row>
    <row r="6" spans="1:179" s="7" customFormat="1" ht="20.25" customHeight="1" x14ac:dyDescent="0.25">
      <c r="A6" s="2103"/>
      <c r="B6" s="408" t="s">
        <v>516</v>
      </c>
      <c r="C6" s="914"/>
      <c r="D6" s="915"/>
      <c r="E6" s="425"/>
      <c r="F6" s="425"/>
      <c r="G6" s="426"/>
      <c r="H6" s="425"/>
      <c r="I6" s="425"/>
      <c r="J6" s="425"/>
      <c r="K6" s="425"/>
      <c r="L6" s="432"/>
      <c r="M6" s="430"/>
      <c r="N6" s="430"/>
      <c r="O6" s="430"/>
      <c r="P6" s="430"/>
      <c r="Q6" s="430"/>
      <c r="R6" s="430"/>
      <c r="S6" s="430"/>
      <c r="T6" s="432"/>
      <c r="U6" s="430"/>
      <c r="V6" s="430"/>
      <c r="W6" s="432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04"/>
      <c r="AK6" s="404"/>
      <c r="AL6" s="405"/>
      <c r="AM6" s="405"/>
      <c r="AN6" s="405"/>
      <c r="AO6" s="405"/>
      <c r="AP6" s="399"/>
      <c r="AQ6" s="399"/>
      <c r="AR6" s="399"/>
      <c r="AS6" s="399"/>
      <c r="AT6" s="399"/>
      <c r="AU6" s="399"/>
      <c r="AV6" s="399"/>
      <c r="AW6" s="399"/>
      <c r="AX6" s="399"/>
      <c r="AY6" s="399"/>
      <c r="AZ6" s="399"/>
      <c r="BA6" s="399"/>
      <c r="BB6" s="400"/>
      <c r="BC6" s="400"/>
      <c r="BD6" s="401"/>
      <c r="BE6" s="400"/>
      <c r="BF6" s="400"/>
      <c r="BG6" s="401"/>
      <c r="BH6" s="401"/>
      <c r="BI6" s="400"/>
      <c r="BJ6" s="400"/>
      <c r="BK6" s="400"/>
      <c r="BL6" s="400"/>
      <c r="BM6" s="407"/>
      <c r="BN6" s="400"/>
      <c r="BO6" s="400"/>
      <c r="BP6" s="400"/>
      <c r="BQ6" s="400"/>
      <c r="BR6" s="400"/>
      <c r="BS6" s="400"/>
      <c r="BT6" s="400"/>
      <c r="BU6" s="400"/>
      <c r="BV6" s="400"/>
      <c r="BW6" s="400"/>
      <c r="BX6" s="400"/>
      <c r="BY6" s="400"/>
      <c r="BZ6" s="400"/>
      <c r="CA6" s="400"/>
      <c r="CB6" s="400"/>
      <c r="CC6" s="400"/>
      <c r="CD6" s="400"/>
      <c r="CE6" s="400"/>
      <c r="CF6" s="400"/>
      <c r="CG6" s="400"/>
      <c r="CH6" s="400"/>
      <c r="CI6" s="402"/>
      <c r="CJ6" s="400"/>
      <c r="CK6" s="400"/>
      <c r="CL6" s="400"/>
      <c r="CM6" s="459"/>
      <c r="CN6" s="459"/>
      <c r="CO6" s="459"/>
      <c r="CP6" s="459"/>
      <c r="CQ6" s="400"/>
      <c r="CR6" s="400"/>
      <c r="CS6" s="400"/>
      <c r="CT6" s="400"/>
      <c r="CU6" s="400"/>
      <c r="CV6" s="400"/>
      <c r="CW6" s="400"/>
      <c r="CX6" s="400"/>
      <c r="CY6" s="400"/>
      <c r="CZ6" s="402"/>
      <c r="DA6" s="402"/>
      <c r="DB6" s="402"/>
      <c r="DC6" s="402"/>
      <c r="DD6" s="402"/>
      <c r="DE6" s="400"/>
      <c r="DF6" s="626"/>
      <c r="DG6" s="626"/>
      <c r="DH6" s="400"/>
      <c r="DI6" s="400"/>
      <c r="DJ6" s="400"/>
      <c r="DK6" s="400"/>
      <c r="DL6" s="400"/>
      <c r="DM6" s="400"/>
      <c r="DN6" s="400"/>
      <c r="DO6" s="400"/>
      <c r="DP6" s="400"/>
      <c r="DQ6" s="400"/>
      <c r="DR6" s="400"/>
      <c r="DS6" s="400"/>
      <c r="DT6" s="400"/>
      <c r="DU6" s="400"/>
      <c r="DV6" s="400"/>
      <c r="DW6" s="400"/>
      <c r="DX6" s="400"/>
      <c r="DY6" s="400"/>
      <c r="DZ6" s="400"/>
      <c r="EA6" s="400"/>
      <c r="EB6" s="400"/>
      <c r="EC6" s="400"/>
      <c r="ED6" s="400"/>
      <c r="EE6" s="400"/>
      <c r="EF6" s="400"/>
      <c r="EG6" s="400"/>
      <c r="EH6" s="400"/>
      <c r="EI6" s="400"/>
      <c r="EJ6" s="400"/>
      <c r="EK6" s="400"/>
      <c r="EL6" s="400"/>
      <c r="EM6" s="400"/>
      <c r="EN6" s="400"/>
      <c r="EO6" s="400"/>
      <c r="EP6" s="400"/>
      <c r="EQ6" s="400"/>
      <c r="ER6" s="400"/>
      <c r="ES6" s="400"/>
      <c r="ET6" s="400"/>
      <c r="EU6" s="400"/>
      <c r="EV6" s="400"/>
      <c r="EW6" s="400"/>
      <c r="EX6" s="400"/>
      <c r="EY6" s="400"/>
      <c r="EZ6" s="400"/>
      <c r="FA6" s="400"/>
      <c r="FB6" s="400"/>
      <c r="FC6" s="624"/>
      <c r="FD6" s="400"/>
      <c r="FE6" s="400"/>
      <c r="FF6" s="407"/>
      <c r="FG6" s="400"/>
      <c r="FH6" s="400"/>
      <c r="FI6" s="400"/>
      <c r="FJ6" s="400"/>
      <c r="FK6" s="400"/>
      <c r="FL6" s="406"/>
      <c r="FM6" s="406"/>
      <c r="FN6" s="939"/>
      <c r="FO6" s="400"/>
      <c r="FP6" s="400"/>
      <c r="FQ6" s="400"/>
      <c r="FR6" s="400"/>
      <c r="FS6" s="400"/>
      <c r="FT6" s="400"/>
      <c r="FU6" s="400"/>
      <c r="FV6" s="400"/>
      <c r="FW6" s="460"/>
    </row>
    <row r="7" spans="1:179" s="7" customFormat="1" ht="20.25" customHeight="1" x14ac:dyDescent="0.25">
      <c r="A7" s="2103"/>
      <c r="B7" s="421" t="s">
        <v>607</v>
      </c>
      <c r="C7" s="1246">
        <f>план!C7</f>
        <v>873091.19999999984</v>
      </c>
      <c r="D7" s="1247">
        <f>план!D7</f>
        <v>727575.99999999988</v>
      </c>
      <c r="E7" s="1244"/>
      <c r="F7" s="1244"/>
      <c r="G7" s="1245"/>
      <c r="H7" s="1244"/>
      <c r="I7" s="425"/>
      <c r="J7" s="425"/>
      <c r="K7" s="425"/>
      <c r="L7" s="625"/>
      <c r="M7" s="1242"/>
      <c r="N7" s="1242"/>
      <c r="O7" s="1242"/>
      <c r="P7" s="1242"/>
      <c r="Q7" s="1242"/>
      <c r="R7" s="1242"/>
      <c r="S7" s="1242"/>
      <c r="T7" s="625"/>
      <c r="U7" s="1242"/>
      <c r="V7" s="1242"/>
      <c r="W7" s="625"/>
      <c r="X7" s="1242"/>
      <c r="Y7" s="1242"/>
      <c r="Z7" s="1242"/>
      <c r="AA7" s="1242"/>
      <c r="AB7" s="1242"/>
      <c r="AC7" s="1242"/>
      <c r="AD7" s="1242"/>
      <c r="AE7" s="1242"/>
      <c r="AF7" s="1242"/>
      <c r="AG7" s="1242"/>
      <c r="AH7" s="1242"/>
      <c r="AI7" s="1242"/>
      <c r="AJ7" s="1243"/>
      <c r="AK7" s="1243"/>
      <c r="AL7" s="405"/>
      <c r="AM7" s="405"/>
      <c r="AN7" s="405"/>
      <c r="AO7" s="405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400"/>
      <c r="BC7" s="400"/>
      <c r="BD7" s="401"/>
      <c r="BE7" s="400"/>
      <c r="BF7" s="400"/>
      <c r="BG7" s="401"/>
      <c r="BH7" s="401"/>
      <c r="BI7" s="400"/>
      <c r="BJ7" s="400"/>
      <c r="BK7" s="400"/>
      <c r="BL7" s="400"/>
      <c r="BM7" s="407"/>
      <c r="BN7" s="400"/>
      <c r="BO7" s="400"/>
      <c r="BP7" s="400"/>
      <c r="BQ7" s="400"/>
      <c r="BR7" s="400"/>
      <c r="BS7" s="400"/>
      <c r="BT7" s="400"/>
      <c r="BU7" s="400"/>
      <c r="BV7" s="400"/>
      <c r="BW7" s="400"/>
      <c r="BX7" s="400"/>
      <c r="BY7" s="400"/>
      <c r="BZ7" s="400"/>
      <c r="CA7" s="400"/>
      <c r="CB7" s="400"/>
      <c r="CC7" s="400"/>
      <c r="CD7" s="400"/>
      <c r="CE7" s="400"/>
      <c r="CF7" s="400"/>
      <c r="CG7" s="400"/>
      <c r="CH7" s="400"/>
      <c r="CI7" s="402"/>
      <c r="CJ7" s="400"/>
      <c r="CK7" s="400"/>
      <c r="CL7" s="400"/>
      <c r="CM7" s="459"/>
      <c r="CN7" s="459"/>
      <c r="CO7" s="459"/>
      <c r="CP7" s="459"/>
      <c r="CQ7" s="400"/>
      <c r="CR7" s="400"/>
      <c r="CS7" s="400"/>
      <c r="CT7" s="400"/>
      <c r="CU7" s="400"/>
      <c r="CV7" s="400"/>
      <c r="CW7" s="400"/>
      <c r="CX7" s="400"/>
      <c r="CY7" s="400"/>
      <c r="CZ7" s="402"/>
      <c r="DA7" s="402"/>
      <c r="DB7" s="402"/>
      <c r="DC7" s="402"/>
      <c r="DD7" s="402"/>
      <c r="DE7" s="400"/>
      <c r="DF7" s="626"/>
      <c r="DG7" s="626"/>
      <c r="DH7" s="400"/>
      <c r="DI7" s="400"/>
      <c r="DJ7" s="400"/>
      <c r="DK7" s="400"/>
      <c r="DL7" s="400"/>
      <c r="DM7" s="400"/>
      <c r="DN7" s="400"/>
      <c r="DO7" s="400"/>
      <c r="DP7" s="400"/>
      <c r="DQ7" s="400"/>
      <c r="DR7" s="400"/>
      <c r="DS7" s="400"/>
      <c r="DT7" s="400"/>
      <c r="DU7" s="400"/>
      <c r="DV7" s="400"/>
      <c r="DW7" s="400"/>
      <c r="DX7" s="400"/>
      <c r="DY7" s="400"/>
      <c r="DZ7" s="400"/>
      <c r="EA7" s="400"/>
      <c r="EB7" s="400"/>
      <c r="EC7" s="400"/>
      <c r="ED7" s="400"/>
      <c r="EE7" s="400"/>
      <c r="EF7" s="400"/>
      <c r="EG7" s="400"/>
      <c r="EH7" s="400"/>
      <c r="EI7" s="400"/>
      <c r="EJ7" s="400"/>
      <c r="EK7" s="400"/>
      <c r="EL7" s="400"/>
      <c r="EM7" s="400"/>
      <c r="EN7" s="400"/>
      <c r="EO7" s="400"/>
      <c r="EP7" s="400"/>
      <c r="EQ7" s="400"/>
      <c r="ER7" s="400"/>
      <c r="ES7" s="400"/>
      <c r="ET7" s="400"/>
      <c r="EU7" s="400"/>
      <c r="EV7" s="400"/>
      <c r="EW7" s="400"/>
      <c r="EX7" s="400"/>
      <c r="EY7" s="400"/>
      <c r="EZ7" s="400"/>
      <c r="FA7" s="400"/>
      <c r="FB7" s="400"/>
      <c r="FC7" s="624"/>
      <c r="FD7" s="400"/>
      <c r="FE7" s="400"/>
      <c r="FF7" s="407"/>
      <c r="FG7" s="400"/>
      <c r="FH7" s="400"/>
      <c r="FI7" s="400"/>
      <c r="FJ7" s="400"/>
      <c r="FK7" s="400"/>
      <c r="FL7" s="406"/>
      <c r="FM7" s="406"/>
      <c r="FN7" s="939"/>
      <c r="FO7" s="400"/>
      <c r="FP7" s="400"/>
      <c r="FQ7" s="400"/>
      <c r="FR7" s="400"/>
      <c r="FS7" s="400"/>
      <c r="FT7" s="400"/>
      <c r="FU7" s="400"/>
      <c r="FV7" s="400"/>
      <c r="FW7" s="460"/>
    </row>
    <row r="8" spans="1:179" s="454" customFormat="1" ht="47.25" x14ac:dyDescent="0.2">
      <c r="A8" s="2103"/>
      <c r="B8" s="398" t="s">
        <v>615</v>
      </c>
      <c r="C8" s="449">
        <f>план!C8</f>
        <v>419994.41</v>
      </c>
      <c r="D8" s="450">
        <f>план!D8</f>
        <v>349995.34166666667</v>
      </c>
      <c r="E8" s="451">
        <f>план!F8</f>
        <v>2.3450000000000002</v>
      </c>
      <c r="F8" s="451"/>
      <c r="G8" s="452"/>
      <c r="H8" s="451"/>
      <c r="I8" s="451">
        <f>план!J8</f>
        <v>2.3450000000000002</v>
      </c>
      <c r="J8" s="451"/>
      <c r="K8" s="451"/>
      <c r="L8" s="432">
        <f>план!Y8</f>
        <v>2126.6570000000002</v>
      </c>
      <c r="M8" s="432">
        <f>план!AE8</f>
        <v>128.02475140000001</v>
      </c>
      <c r="N8" s="432"/>
      <c r="O8" s="432"/>
      <c r="P8" s="432"/>
      <c r="Q8" s="432">
        <f>план!AJ8</f>
        <v>496.06913992907812</v>
      </c>
      <c r="R8" s="432"/>
      <c r="S8" s="432"/>
      <c r="T8" s="432">
        <f>план!AM8</f>
        <v>849.13383091503283</v>
      </c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03"/>
      <c r="AK8" s="403"/>
      <c r="AL8" s="399"/>
      <c r="AM8" s="399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A8" s="399"/>
      <c r="BB8" s="402"/>
      <c r="BC8" s="402"/>
      <c r="BD8" s="399"/>
      <c r="BE8" s="402"/>
      <c r="BF8" s="402"/>
      <c r="BG8" s="399"/>
      <c r="BH8" s="399"/>
      <c r="BI8" s="402"/>
      <c r="BJ8" s="402"/>
      <c r="BK8" s="402"/>
      <c r="BL8" s="402"/>
      <c r="BM8" s="455"/>
      <c r="BN8" s="402"/>
      <c r="BO8" s="402"/>
      <c r="BP8" s="402"/>
      <c r="BQ8" s="402"/>
      <c r="BR8" s="402"/>
      <c r="BS8" s="402"/>
      <c r="BT8" s="402"/>
      <c r="BU8" s="402"/>
      <c r="BV8" s="402"/>
      <c r="BW8" s="402"/>
      <c r="BX8" s="402"/>
      <c r="BY8" s="402"/>
      <c r="BZ8" s="402"/>
      <c r="CA8" s="402"/>
      <c r="CB8" s="402"/>
      <c r="CC8" s="402"/>
      <c r="CD8" s="402"/>
      <c r="CE8" s="402"/>
      <c r="CF8" s="402"/>
      <c r="CG8" s="402"/>
      <c r="CH8" s="402"/>
      <c r="CI8" s="463">
        <f>план!AQ8</f>
        <v>0.42533140000000003</v>
      </c>
      <c r="CJ8" s="402"/>
      <c r="CK8" s="402"/>
      <c r="CL8" s="402"/>
      <c r="CM8" s="461"/>
      <c r="CN8" s="461"/>
      <c r="CO8" s="461"/>
      <c r="CP8" s="461"/>
      <c r="CQ8" s="402"/>
      <c r="CR8" s="402"/>
      <c r="CS8" s="402"/>
      <c r="CT8" s="402"/>
      <c r="CU8" s="402"/>
      <c r="CV8" s="402"/>
      <c r="CW8" s="402"/>
      <c r="CX8" s="402"/>
      <c r="CY8" s="402"/>
      <c r="CZ8" s="402"/>
      <c r="DA8" s="402"/>
      <c r="DB8" s="402"/>
      <c r="DC8" s="402"/>
      <c r="DD8" s="402"/>
      <c r="DE8" s="402"/>
      <c r="DF8" s="463"/>
      <c r="DG8" s="463"/>
      <c r="DH8" s="402"/>
      <c r="DI8" s="402"/>
      <c r="DJ8" s="402"/>
      <c r="DK8" s="402"/>
      <c r="DL8" s="402"/>
      <c r="DM8" s="402"/>
      <c r="DN8" s="402"/>
      <c r="DO8" s="402"/>
      <c r="DP8" s="402"/>
      <c r="DQ8" s="402"/>
      <c r="DR8" s="402"/>
      <c r="DS8" s="402"/>
      <c r="DT8" s="402"/>
      <c r="DU8" s="402"/>
      <c r="DV8" s="402"/>
      <c r="DW8" s="402"/>
      <c r="DX8" s="402"/>
      <c r="DY8" s="402"/>
      <c r="DZ8" s="402"/>
      <c r="EA8" s="402"/>
      <c r="EB8" s="402"/>
      <c r="EC8" s="402"/>
      <c r="ED8" s="402"/>
      <c r="EE8" s="402"/>
      <c r="EF8" s="402"/>
      <c r="EG8" s="402"/>
      <c r="EH8" s="402"/>
      <c r="EI8" s="402"/>
      <c r="EJ8" s="402"/>
      <c r="EK8" s="402"/>
      <c r="EL8" s="402"/>
      <c r="EM8" s="402"/>
      <c r="EN8" s="402"/>
      <c r="EO8" s="402"/>
      <c r="EP8" s="402"/>
      <c r="EQ8" s="402"/>
      <c r="ER8" s="402"/>
      <c r="ES8" s="402"/>
      <c r="ET8" s="402"/>
      <c r="EU8" s="402"/>
      <c r="EV8" s="402"/>
      <c r="EW8" s="402"/>
      <c r="EX8" s="402"/>
      <c r="EY8" s="402"/>
      <c r="EZ8" s="402"/>
      <c r="FA8" s="402"/>
      <c r="FB8" s="402"/>
      <c r="FC8" s="625"/>
      <c r="FD8" s="402"/>
      <c r="FE8" s="402"/>
      <c r="FF8" s="455"/>
      <c r="FG8" s="402"/>
      <c r="FH8" s="402"/>
      <c r="FI8" s="402"/>
      <c r="FJ8" s="402"/>
      <c r="FK8" s="402"/>
      <c r="FL8" s="403"/>
      <c r="FM8" s="403"/>
      <c r="FN8" s="940"/>
      <c r="FO8" s="402"/>
      <c r="FP8" s="402"/>
      <c r="FQ8" s="402"/>
      <c r="FR8" s="402"/>
      <c r="FS8" s="402"/>
      <c r="FT8" s="402"/>
      <c r="FU8" s="402"/>
      <c r="FV8" s="402"/>
      <c r="FW8" s="462"/>
    </row>
    <row r="9" spans="1:179" s="454" customFormat="1" ht="31.5" x14ac:dyDescent="0.2">
      <c r="A9" s="2103"/>
      <c r="B9" s="420" t="s">
        <v>815</v>
      </c>
      <c r="C9" s="1099">
        <f>план!C9</f>
        <v>210426.21999999997</v>
      </c>
      <c r="D9" s="450">
        <f>план!D9</f>
        <v>175355.18333333332</v>
      </c>
      <c r="E9" s="1100">
        <f>план!F9</f>
        <v>2.1954060150655352</v>
      </c>
      <c r="F9" s="1100"/>
      <c r="G9" s="1101">
        <f>план!H9</f>
        <v>2.1954060150655352</v>
      </c>
      <c r="H9" s="1100"/>
      <c r="I9" s="1100"/>
      <c r="J9" s="451"/>
      <c r="K9" s="451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>
        <f>план!BF9</f>
        <v>2088.0451724137929</v>
      </c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402"/>
      <c r="AK9" s="402"/>
      <c r="AL9" s="399"/>
      <c r="AM9" s="399"/>
      <c r="AN9" s="399"/>
      <c r="AO9" s="399"/>
      <c r="AP9" s="399"/>
      <c r="AQ9" s="399"/>
      <c r="AR9" s="399"/>
      <c r="AS9" s="399"/>
      <c r="AT9" s="399"/>
      <c r="AU9" s="399"/>
      <c r="AV9" s="399"/>
      <c r="AW9" s="399"/>
      <c r="AX9" s="399"/>
      <c r="AY9" s="399"/>
      <c r="AZ9" s="399"/>
      <c r="BA9" s="399"/>
      <c r="BB9" s="402"/>
      <c r="BC9" s="402"/>
      <c r="BD9" s="399"/>
      <c r="BE9" s="402"/>
      <c r="BF9" s="402"/>
      <c r="BG9" s="399"/>
      <c r="BH9" s="399"/>
      <c r="BI9" s="402"/>
      <c r="BJ9" s="402"/>
      <c r="BK9" s="402"/>
      <c r="BL9" s="402"/>
      <c r="BM9" s="455"/>
      <c r="BN9" s="402"/>
      <c r="BO9" s="402"/>
      <c r="BP9" s="402"/>
      <c r="BQ9" s="402"/>
      <c r="BR9" s="402"/>
      <c r="BS9" s="402"/>
      <c r="BT9" s="402"/>
      <c r="BU9" s="402"/>
      <c r="BV9" s="402"/>
      <c r="BW9" s="402"/>
      <c r="BX9" s="402"/>
      <c r="BY9" s="402"/>
      <c r="BZ9" s="402"/>
      <c r="CA9" s="402"/>
      <c r="CB9" s="402"/>
      <c r="CC9" s="402"/>
      <c r="CD9" s="402"/>
      <c r="CE9" s="402"/>
      <c r="CF9" s="402"/>
      <c r="CG9" s="402"/>
      <c r="CH9" s="402"/>
      <c r="CI9" s="463"/>
      <c r="CJ9" s="402"/>
      <c r="CK9" s="402"/>
      <c r="CL9" s="402"/>
      <c r="CM9" s="461"/>
      <c r="CN9" s="461"/>
      <c r="CO9" s="461"/>
      <c r="CP9" s="461"/>
      <c r="CQ9" s="402"/>
      <c r="CR9" s="402"/>
      <c r="CS9" s="402"/>
      <c r="CT9" s="402"/>
      <c r="CU9" s="402"/>
      <c r="CV9" s="402"/>
      <c r="CW9" s="402"/>
      <c r="CX9" s="402"/>
      <c r="CY9" s="402"/>
      <c r="CZ9" s="402"/>
      <c r="DA9" s="402"/>
      <c r="DB9" s="402"/>
      <c r="DC9" s="402"/>
      <c r="DD9" s="402"/>
      <c r="DE9" s="402"/>
      <c r="DF9" s="463"/>
      <c r="DG9" s="463"/>
      <c r="DH9" s="402"/>
      <c r="DI9" s="402"/>
      <c r="DJ9" s="402"/>
      <c r="DK9" s="402"/>
      <c r="DL9" s="402"/>
      <c r="DM9" s="402"/>
      <c r="DN9" s="402"/>
      <c r="DO9" s="402"/>
      <c r="DP9" s="402"/>
      <c r="DQ9" s="402"/>
      <c r="DR9" s="402"/>
      <c r="DS9" s="402"/>
      <c r="DT9" s="402"/>
      <c r="DU9" s="402"/>
      <c r="DV9" s="402"/>
      <c r="DW9" s="402"/>
      <c r="DX9" s="402"/>
      <c r="DY9" s="402"/>
      <c r="DZ9" s="402"/>
      <c r="EA9" s="402"/>
      <c r="EB9" s="402"/>
      <c r="EC9" s="402"/>
      <c r="ED9" s="402"/>
      <c r="EE9" s="402"/>
      <c r="EF9" s="402"/>
      <c r="EG9" s="402"/>
      <c r="EH9" s="402"/>
      <c r="EI9" s="402"/>
      <c r="EJ9" s="402"/>
      <c r="EK9" s="402"/>
      <c r="EL9" s="402"/>
      <c r="EM9" s="402"/>
      <c r="EN9" s="402"/>
      <c r="EO9" s="402"/>
      <c r="EP9" s="402"/>
      <c r="EQ9" s="402"/>
      <c r="ER9" s="402"/>
      <c r="ES9" s="402"/>
      <c r="ET9" s="402"/>
      <c r="EU9" s="402"/>
      <c r="EV9" s="402"/>
      <c r="EW9" s="402"/>
      <c r="EX9" s="402"/>
      <c r="EY9" s="402"/>
      <c r="EZ9" s="402"/>
      <c r="FA9" s="402"/>
      <c r="FB9" s="402"/>
      <c r="FC9" s="625"/>
      <c r="FD9" s="402"/>
      <c r="FE9" s="402"/>
      <c r="FF9" s="455"/>
      <c r="FG9" s="402"/>
      <c r="FH9" s="402"/>
      <c r="FI9" s="402"/>
      <c r="FJ9" s="402"/>
      <c r="FK9" s="402"/>
      <c r="FL9" s="403"/>
      <c r="FM9" s="403"/>
      <c r="FN9" s="940"/>
      <c r="FO9" s="402"/>
      <c r="FP9" s="402"/>
      <c r="FQ9" s="402"/>
      <c r="FR9" s="402"/>
      <c r="FS9" s="402"/>
      <c r="FT9" s="402"/>
      <c r="FU9" s="402"/>
      <c r="FV9" s="402"/>
      <c r="FW9" s="462"/>
    </row>
    <row r="10" spans="1:179" s="454" customFormat="1" x14ac:dyDescent="0.2">
      <c r="A10" s="2103"/>
      <c r="B10" s="420" t="s">
        <v>821</v>
      </c>
      <c r="C10" s="1984">
        <f>план!C10</f>
        <v>96106.22</v>
      </c>
      <c r="D10" s="1164">
        <f>план!D10</f>
        <v>80088.516666666677</v>
      </c>
      <c r="E10" s="1100"/>
      <c r="F10" s="451"/>
      <c r="G10" s="452"/>
      <c r="H10" s="451"/>
      <c r="I10" s="451"/>
      <c r="J10" s="451"/>
      <c r="K10" s="451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402"/>
      <c r="AK10" s="402"/>
      <c r="AL10" s="399"/>
      <c r="AM10" s="399"/>
      <c r="AN10" s="399"/>
      <c r="AO10" s="399"/>
      <c r="AP10" s="399"/>
      <c r="AQ10" s="399"/>
      <c r="AR10" s="399"/>
      <c r="AS10" s="399"/>
      <c r="AT10" s="399"/>
      <c r="AU10" s="399"/>
      <c r="AV10" s="399"/>
      <c r="AW10" s="399"/>
      <c r="AX10" s="399"/>
      <c r="AY10" s="399"/>
      <c r="AZ10" s="399"/>
      <c r="BA10" s="399"/>
      <c r="BB10" s="402"/>
      <c r="BC10" s="402"/>
      <c r="BD10" s="399"/>
      <c r="BE10" s="402"/>
      <c r="BF10" s="402"/>
      <c r="BG10" s="399"/>
      <c r="BH10" s="399"/>
      <c r="BI10" s="402"/>
      <c r="BJ10" s="402"/>
      <c r="BK10" s="402"/>
      <c r="BL10" s="402"/>
      <c r="BM10" s="455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2"/>
      <c r="CC10" s="402"/>
      <c r="CD10" s="402"/>
      <c r="CE10" s="402"/>
      <c r="CF10" s="402"/>
      <c r="CG10" s="402"/>
      <c r="CH10" s="402"/>
      <c r="CI10" s="463"/>
      <c r="CJ10" s="402"/>
      <c r="CK10" s="402"/>
      <c r="CL10" s="402"/>
      <c r="CM10" s="461"/>
      <c r="CN10" s="461"/>
      <c r="CO10" s="461"/>
      <c r="CP10" s="461"/>
      <c r="CQ10" s="402"/>
      <c r="CR10" s="402"/>
      <c r="CS10" s="402"/>
      <c r="CT10" s="402"/>
      <c r="CU10" s="402"/>
      <c r="CV10" s="402"/>
      <c r="CW10" s="402"/>
      <c r="CX10" s="402"/>
      <c r="CY10" s="402"/>
      <c r="CZ10" s="402"/>
      <c r="DA10" s="402"/>
      <c r="DB10" s="402"/>
      <c r="DC10" s="402"/>
      <c r="DD10" s="402"/>
      <c r="DE10" s="402"/>
      <c r="DF10" s="463"/>
      <c r="DG10" s="463"/>
      <c r="DH10" s="402"/>
      <c r="DI10" s="402"/>
      <c r="DJ10" s="402"/>
      <c r="DK10" s="402"/>
      <c r="DL10" s="402"/>
      <c r="DM10" s="402"/>
      <c r="DN10" s="402"/>
      <c r="DO10" s="402"/>
      <c r="DP10" s="402"/>
      <c r="DQ10" s="402"/>
      <c r="DR10" s="402"/>
      <c r="DS10" s="402"/>
      <c r="DT10" s="402"/>
      <c r="DU10" s="402"/>
      <c r="DV10" s="402"/>
      <c r="DW10" s="402"/>
      <c r="DX10" s="402"/>
      <c r="DY10" s="402"/>
      <c r="DZ10" s="402"/>
      <c r="EA10" s="402"/>
      <c r="EB10" s="402"/>
      <c r="EC10" s="402"/>
      <c r="ED10" s="402"/>
      <c r="EE10" s="402"/>
      <c r="EF10" s="402"/>
      <c r="EG10" s="402"/>
      <c r="EH10" s="402"/>
      <c r="EI10" s="402"/>
      <c r="EJ10" s="402"/>
      <c r="EK10" s="402"/>
      <c r="EL10" s="402"/>
      <c r="EM10" s="402"/>
      <c r="EN10" s="402"/>
      <c r="EO10" s="402"/>
      <c r="EP10" s="402"/>
      <c r="EQ10" s="402"/>
      <c r="ER10" s="402"/>
      <c r="ES10" s="402"/>
      <c r="ET10" s="402"/>
      <c r="EU10" s="402"/>
      <c r="EV10" s="402"/>
      <c r="EW10" s="402"/>
      <c r="EX10" s="402"/>
      <c r="EY10" s="402"/>
      <c r="EZ10" s="402"/>
      <c r="FA10" s="402"/>
      <c r="FB10" s="402"/>
      <c r="FC10" s="625"/>
      <c r="FD10" s="402"/>
      <c r="FE10" s="402"/>
      <c r="FF10" s="455"/>
      <c r="FG10" s="402"/>
      <c r="FH10" s="402"/>
      <c r="FI10" s="402"/>
      <c r="FJ10" s="402"/>
      <c r="FK10" s="402"/>
      <c r="FL10" s="403"/>
      <c r="FM10" s="403"/>
      <c r="FN10" s="940"/>
      <c r="FO10" s="402"/>
      <c r="FP10" s="402"/>
      <c r="FQ10" s="402"/>
      <c r="FR10" s="402"/>
      <c r="FS10" s="402"/>
      <c r="FT10" s="402"/>
      <c r="FU10" s="402"/>
      <c r="FV10" s="402"/>
      <c r="FW10" s="462"/>
    </row>
    <row r="11" spans="1:179" s="454" customFormat="1" ht="31.5" x14ac:dyDescent="0.2">
      <c r="A11" s="2103"/>
      <c r="B11" s="420" t="s">
        <v>844</v>
      </c>
      <c r="C11" s="1099">
        <f>план!C13</f>
        <v>146564.35</v>
      </c>
      <c r="D11" s="450">
        <f>план!D13</f>
        <v>122136.95833333334</v>
      </c>
      <c r="E11" s="1100"/>
      <c r="F11" s="451"/>
      <c r="G11" s="452"/>
      <c r="H11" s="451"/>
      <c r="I11" s="451"/>
      <c r="J11" s="451"/>
      <c r="K11" s="451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  <c r="AI11" s="625"/>
      <c r="AJ11" s="402"/>
      <c r="AK11" s="402"/>
      <c r="AL11" s="399"/>
      <c r="AM11" s="399"/>
      <c r="AN11" s="399"/>
      <c r="AO11" s="399"/>
      <c r="AP11" s="399"/>
      <c r="AQ11" s="399"/>
      <c r="AR11" s="399"/>
      <c r="AS11" s="399"/>
      <c r="AT11" s="399"/>
      <c r="AU11" s="399"/>
      <c r="AV11" s="399"/>
      <c r="AW11" s="399"/>
      <c r="AX11" s="399"/>
      <c r="AY11" s="399"/>
      <c r="AZ11" s="399"/>
      <c r="BA11" s="399"/>
      <c r="BB11" s="402"/>
      <c r="BC11" s="402"/>
      <c r="BD11" s="399"/>
      <c r="BE11" s="402"/>
      <c r="BF11" s="402"/>
      <c r="BG11" s="399"/>
      <c r="BH11" s="399"/>
      <c r="BI11" s="402"/>
      <c r="BJ11" s="402"/>
      <c r="BK11" s="402"/>
      <c r="BL11" s="402"/>
      <c r="BM11" s="455"/>
      <c r="BN11" s="402"/>
      <c r="BO11" s="402"/>
      <c r="BP11" s="402"/>
      <c r="BQ11" s="402"/>
      <c r="BR11" s="402"/>
      <c r="BS11" s="402"/>
      <c r="BT11" s="402"/>
      <c r="BU11" s="402"/>
      <c r="BV11" s="402"/>
      <c r="BW11" s="402"/>
      <c r="BX11" s="402"/>
      <c r="BY11" s="402"/>
      <c r="BZ11" s="402"/>
      <c r="CA11" s="402"/>
      <c r="CB11" s="402"/>
      <c r="CC11" s="402"/>
      <c r="CD11" s="402"/>
      <c r="CE11" s="402"/>
      <c r="CF11" s="402"/>
      <c r="CG11" s="402"/>
      <c r="CH11" s="402"/>
      <c r="CI11" s="463"/>
      <c r="CJ11" s="402"/>
      <c r="CK11" s="402"/>
      <c r="CL11" s="402"/>
      <c r="CM11" s="461"/>
      <c r="CN11" s="461"/>
      <c r="CO11" s="461"/>
      <c r="CP11" s="461"/>
      <c r="CQ11" s="402"/>
      <c r="CR11" s="402"/>
      <c r="CS11" s="402"/>
      <c r="CT11" s="402"/>
      <c r="CU11" s="402"/>
      <c r="CV11" s="402"/>
      <c r="CW11" s="402"/>
      <c r="CX11" s="402"/>
      <c r="CY11" s="402"/>
      <c r="CZ11" s="402"/>
      <c r="DA11" s="402"/>
      <c r="DB11" s="402"/>
      <c r="DC11" s="402"/>
      <c r="DD11" s="402"/>
      <c r="DE11" s="402"/>
      <c r="DF11" s="463"/>
      <c r="DG11" s="463"/>
      <c r="DH11" s="402"/>
      <c r="DI11" s="402"/>
      <c r="DJ11" s="402"/>
      <c r="DK11" s="402"/>
      <c r="DL11" s="402"/>
      <c r="DM11" s="402"/>
      <c r="DN11" s="402"/>
      <c r="DO11" s="402"/>
      <c r="DP11" s="402"/>
      <c r="DQ11" s="402"/>
      <c r="DR11" s="402"/>
      <c r="DS11" s="402"/>
      <c r="DT11" s="402"/>
      <c r="DU11" s="402"/>
      <c r="DV11" s="402"/>
      <c r="DW11" s="402"/>
      <c r="DX11" s="402"/>
      <c r="DY11" s="402"/>
      <c r="DZ11" s="402"/>
      <c r="EA11" s="402"/>
      <c r="EB11" s="402"/>
      <c r="EC11" s="402"/>
      <c r="ED11" s="402"/>
      <c r="EE11" s="402"/>
      <c r="EF11" s="402"/>
      <c r="EG11" s="402"/>
      <c r="EH11" s="402"/>
      <c r="EI11" s="402"/>
      <c r="EJ11" s="402"/>
      <c r="EK11" s="402"/>
      <c r="EL11" s="402"/>
      <c r="EM11" s="402"/>
      <c r="EN11" s="402"/>
      <c r="EO11" s="402"/>
      <c r="EP11" s="402"/>
      <c r="EQ11" s="402"/>
      <c r="ER11" s="402"/>
      <c r="ES11" s="402"/>
      <c r="ET11" s="402"/>
      <c r="EU11" s="402"/>
      <c r="EV11" s="402"/>
      <c r="EW11" s="402"/>
      <c r="EX11" s="402"/>
      <c r="EY11" s="402"/>
      <c r="EZ11" s="402"/>
      <c r="FA11" s="402"/>
      <c r="FB11" s="402"/>
      <c r="FC11" s="625"/>
      <c r="FD11" s="402"/>
      <c r="FE11" s="402"/>
      <c r="FF11" s="455"/>
      <c r="FG11" s="402"/>
      <c r="FH11" s="402"/>
      <c r="FI11" s="402"/>
      <c r="FJ11" s="402"/>
      <c r="FK11" s="402"/>
      <c r="FL11" s="403"/>
      <c r="FM11" s="403"/>
      <c r="FN11" s="940"/>
      <c r="FO11" s="402"/>
      <c r="FP11" s="402"/>
      <c r="FQ11" s="402"/>
      <c r="FR11" s="402"/>
      <c r="FS11" s="402"/>
      <c r="FT11" s="402"/>
      <c r="FU11" s="402"/>
      <c r="FV11" s="402"/>
      <c r="FW11" s="462"/>
    </row>
    <row r="12" spans="1:179" s="1267" customFormat="1" ht="20.25" customHeight="1" x14ac:dyDescent="0.25">
      <c r="A12" s="2103"/>
      <c r="B12" s="1248" t="s">
        <v>608</v>
      </c>
      <c r="C12" s="1285">
        <f>SUM(C13:C16)</f>
        <v>508216.20990030974</v>
      </c>
      <c r="D12" s="1286">
        <f>SUM(D13:D16)</f>
        <v>423513.50825025811</v>
      </c>
      <c r="E12" s="1249"/>
      <c r="F12" s="1250"/>
      <c r="G12" s="1251"/>
      <c r="H12" s="1250"/>
      <c r="I12" s="1250"/>
      <c r="J12" s="1250"/>
      <c r="K12" s="1250"/>
      <c r="L12" s="1252"/>
      <c r="M12" s="1253"/>
      <c r="N12" s="1253"/>
      <c r="O12" s="1253"/>
      <c r="P12" s="1253"/>
      <c r="Q12" s="1253"/>
      <c r="R12" s="1253"/>
      <c r="S12" s="1253"/>
      <c r="T12" s="1252"/>
      <c r="U12" s="1253"/>
      <c r="V12" s="1253"/>
      <c r="W12" s="1252"/>
      <c r="X12" s="1253"/>
      <c r="Y12" s="1253"/>
      <c r="Z12" s="1253"/>
      <c r="AA12" s="1253"/>
      <c r="AB12" s="1253"/>
      <c r="AC12" s="1253"/>
      <c r="AD12" s="1253"/>
      <c r="AE12" s="1253"/>
      <c r="AF12" s="1253"/>
      <c r="AG12" s="1253"/>
      <c r="AH12" s="1253"/>
      <c r="AI12" s="1253"/>
      <c r="AJ12" s="1254"/>
      <c r="AK12" s="1254"/>
      <c r="AL12" s="1255"/>
      <c r="AM12" s="1255"/>
      <c r="AN12" s="1255"/>
      <c r="AO12" s="1255"/>
      <c r="AP12" s="1256"/>
      <c r="AQ12" s="1256"/>
      <c r="AR12" s="1256"/>
      <c r="AS12" s="1256"/>
      <c r="AT12" s="1256"/>
      <c r="AU12" s="1256"/>
      <c r="AV12" s="1256"/>
      <c r="AW12" s="1256"/>
      <c r="AX12" s="1256"/>
      <c r="AY12" s="1256"/>
      <c r="AZ12" s="1256"/>
      <c r="BA12" s="1256"/>
      <c r="BB12" s="1257"/>
      <c r="BC12" s="1257"/>
      <c r="BD12" s="1258"/>
      <c r="BE12" s="1257"/>
      <c r="BF12" s="1257"/>
      <c r="BG12" s="1258"/>
      <c r="BH12" s="1258"/>
      <c r="BI12" s="1257"/>
      <c r="BJ12" s="1257"/>
      <c r="BK12" s="1257"/>
      <c r="BL12" s="1257"/>
      <c r="BM12" s="1259"/>
      <c r="BN12" s="1257"/>
      <c r="BO12" s="1257"/>
      <c r="BP12" s="1257"/>
      <c r="BQ12" s="1257"/>
      <c r="BR12" s="1257"/>
      <c r="BS12" s="1257"/>
      <c r="BT12" s="1257"/>
      <c r="BU12" s="1257"/>
      <c r="BV12" s="1257"/>
      <c r="BW12" s="1257"/>
      <c r="BX12" s="1257"/>
      <c r="BY12" s="1257"/>
      <c r="BZ12" s="1257"/>
      <c r="CA12" s="1257"/>
      <c r="CB12" s="1257"/>
      <c r="CC12" s="1257"/>
      <c r="CD12" s="1257"/>
      <c r="CE12" s="1257"/>
      <c r="CF12" s="1257"/>
      <c r="CG12" s="1257"/>
      <c r="CH12" s="1257"/>
      <c r="CI12" s="1260"/>
      <c r="CJ12" s="1257"/>
      <c r="CK12" s="1257"/>
      <c r="CL12" s="1257"/>
      <c r="CM12" s="1261"/>
      <c r="CN12" s="1261"/>
      <c r="CO12" s="1261"/>
      <c r="CP12" s="1261"/>
      <c r="CQ12" s="1257"/>
      <c r="CR12" s="1257"/>
      <c r="CS12" s="1257"/>
      <c r="CT12" s="1257"/>
      <c r="CU12" s="1257"/>
      <c r="CV12" s="1257"/>
      <c r="CW12" s="1257"/>
      <c r="CX12" s="1257"/>
      <c r="CY12" s="1257"/>
      <c r="CZ12" s="1260"/>
      <c r="DA12" s="1260"/>
      <c r="DB12" s="1260"/>
      <c r="DC12" s="1260"/>
      <c r="DD12" s="1260"/>
      <c r="DE12" s="1257"/>
      <c r="DF12" s="1262"/>
      <c r="DG12" s="1262"/>
      <c r="DH12" s="1257"/>
      <c r="DI12" s="1257"/>
      <c r="DJ12" s="1257"/>
      <c r="DK12" s="1257"/>
      <c r="DL12" s="1257"/>
      <c r="DM12" s="1257"/>
      <c r="DN12" s="1257"/>
      <c r="DO12" s="1257"/>
      <c r="DP12" s="1257"/>
      <c r="DQ12" s="1257"/>
      <c r="DR12" s="1257"/>
      <c r="DS12" s="1257"/>
      <c r="DT12" s="1257"/>
      <c r="DU12" s="1257"/>
      <c r="DV12" s="1257"/>
      <c r="DW12" s="1257"/>
      <c r="DX12" s="1257"/>
      <c r="DY12" s="1257"/>
      <c r="DZ12" s="1257"/>
      <c r="EA12" s="1257"/>
      <c r="EB12" s="1257"/>
      <c r="EC12" s="1257"/>
      <c r="ED12" s="1257"/>
      <c r="EE12" s="1257"/>
      <c r="EF12" s="1257"/>
      <c r="EG12" s="1257"/>
      <c r="EH12" s="1257"/>
      <c r="EI12" s="1257"/>
      <c r="EJ12" s="1257"/>
      <c r="EK12" s="1257"/>
      <c r="EL12" s="1257"/>
      <c r="EM12" s="1257"/>
      <c r="EN12" s="1257"/>
      <c r="EO12" s="1257"/>
      <c r="EP12" s="1257"/>
      <c r="EQ12" s="1257"/>
      <c r="ER12" s="1257"/>
      <c r="ES12" s="1257"/>
      <c r="ET12" s="1257"/>
      <c r="EU12" s="1257"/>
      <c r="EV12" s="1257"/>
      <c r="EW12" s="1257"/>
      <c r="EX12" s="1257"/>
      <c r="EY12" s="1257"/>
      <c r="EZ12" s="1257"/>
      <c r="FA12" s="1257"/>
      <c r="FB12" s="1257"/>
      <c r="FC12" s="1263"/>
      <c r="FD12" s="1257"/>
      <c r="FE12" s="1257"/>
      <c r="FF12" s="1259"/>
      <c r="FG12" s="1257"/>
      <c r="FH12" s="1257"/>
      <c r="FI12" s="1257"/>
      <c r="FJ12" s="1257"/>
      <c r="FK12" s="1257"/>
      <c r="FL12" s="1264"/>
      <c r="FM12" s="1264"/>
      <c r="FN12" s="1265"/>
      <c r="FO12" s="1257"/>
      <c r="FP12" s="1257"/>
      <c r="FQ12" s="1257"/>
      <c r="FR12" s="1257"/>
      <c r="FS12" s="1257"/>
      <c r="FT12" s="1257"/>
      <c r="FU12" s="1257"/>
      <c r="FV12" s="1257"/>
      <c r="FW12" s="1266"/>
    </row>
    <row r="13" spans="1:179" s="1278" customFormat="1" ht="31.5" hidden="1" x14ac:dyDescent="0.2">
      <c r="A13" s="2103"/>
      <c r="B13" s="1268" t="s">
        <v>609</v>
      </c>
      <c r="C13" s="1269">
        <f>план!C16</f>
        <v>0</v>
      </c>
      <c r="D13" s="1270">
        <f>план!D16</f>
        <v>0</v>
      </c>
      <c r="E13" s="1249"/>
      <c r="F13" s="1249"/>
      <c r="G13" s="1271"/>
      <c r="H13" s="1250"/>
      <c r="I13" s="1250"/>
      <c r="J13" s="1250"/>
      <c r="K13" s="1250"/>
      <c r="L13" s="1252"/>
      <c r="M13" s="1252"/>
      <c r="N13" s="1252"/>
      <c r="O13" s="1252"/>
      <c r="P13" s="1252"/>
      <c r="Q13" s="1252"/>
      <c r="R13" s="1252"/>
      <c r="S13" s="1252"/>
      <c r="T13" s="1252"/>
      <c r="U13" s="1252"/>
      <c r="V13" s="1252"/>
      <c r="W13" s="1252"/>
      <c r="X13" s="1252"/>
      <c r="Y13" s="1252"/>
      <c r="Z13" s="1252"/>
      <c r="AA13" s="1252"/>
      <c r="AB13" s="1252"/>
      <c r="AC13" s="1252">
        <f>план!BR16</f>
        <v>0</v>
      </c>
      <c r="AD13" s="1252"/>
      <c r="AE13" s="1252">
        <f>план!BT16</f>
        <v>0</v>
      </c>
      <c r="AF13" s="1252"/>
      <c r="AG13" s="1252"/>
      <c r="AH13" s="1252"/>
      <c r="AI13" s="1252"/>
      <c r="AJ13" s="1260"/>
      <c r="AK13" s="1260"/>
      <c r="AL13" s="1256"/>
      <c r="AM13" s="1256">
        <f>план!DV16</f>
        <v>0</v>
      </c>
      <c r="AN13" s="1256"/>
      <c r="AO13" s="1256"/>
      <c r="AP13" s="1256"/>
      <c r="AQ13" s="1256"/>
      <c r="AR13" s="1256"/>
      <c r="AS13" s="1256"/>
      <c r="AT13" s="1256"/>
      <c r="AU13" s="1256"/>
      <c r="AV13" s="1256"/>
      <c r="AW13" s="1256"/>
      <c r="AX13" s="1256"/>
      <c r="AY13" s="1256"/>
      <c r="AZ13" s="1256"/>
      <c r="BA13" s="1256"/>
      <c r="BB13" s="1260"/>
      <c r="BC13" s="1260"/>
      <c r="BD13" s="1256"/>
      <c r="BE13" s="1260"/>
      <c r="BF13" s="1260"/>
      <c r="BG13" s="1256"/>
      <c r="BH13" s="1256"/>
      <c r="BI13" s="1260"/>
      <c r="BJ13" s="1260"/>
      <c r="BK13" s="1260"/>
      <c r="BL13" s="1260"/>
      <c r="BM13" s="1272"/>
      <c r="BN13" s="1260"/>
      <c r="BO13" s="1260"/>
      <c r="BP13" s="1260"/>
      <c r="BQ13" s="1260"/>
      <c r="BR13" s="1260"/>
      <c r="BS13" s="1260"/>
      <c r="BT13" s="1260"/>
      <c r="BU13" s="1260"/>
      <c r="BV13" s="1260"/>
      <c r="BW13" s="1260"/>
      <c r="BX13" s="1260"/>
      <c r="BY13" s="1260"/>
      <c r="BZ13" s="1260"/>
      <c r="CA13" s="1260"/>
      <c r="CB13" s="1260"/>
      <c r="CC13" s="1260"/>
      <c r="CD13" s="1260"/>
      <c r="CE13" s="1260"/>
      <c r="CF13" s="1260"/>
      <c r="CG13" s="1260"/>
      <c r="CH13" s="1260"/>
      <c r="CI13" s="1273"/>
      <c r="CJ13" s="1260"/>
      <c r="CK13" s="1260"/>
      <c r="CL13" s="1260"/>
      <c r="CM13" s="1274"/>
      <c r="CN13" s="1274"/>
      <c r="CO13" s="1274"/>
      <c r="CP13" s="1274"/>
      <c r="CQ13" s="1260"/>
      <c r="CR13" s="1260"/>
      <c r="CS13" s="1260"/>
      <c r="CT13" s="1260"/>
      <c r="CU13" s="1260"/>
      <c r="CV13" s="1260"/>
      <c r="CW13" s="1260"/>
      <c r="CX13" s="1260"/>
      <c r="CY13" s="1260"/>
      <c r="CZ13" s="1260"/>
      <c r="DA13" s="1260"/>
      <c r="DB13" s="1260"/>
      <c r="DC13" s="1260"/>
      <c r="DD13" s="1260"/>
      <c r="DE13" s="1260"/>
      <c r="DF13" s="1273"/>
      <c r="DG13" s="1273"/>
      <c r="DH13" s="1260"/>
      <c r="DI13" s="1260"/>
      <c r="DJ13" s="1260"/>
      <c r="DK13" s="1260"/>
      <c r="DL13" s="1260"/>
      <c r="DM13" s="1260"/>
      <c r="DN13" s="1260"/>
      <c r="DO13" s="1260"/>
      <c r="DP13" s="1260"/>
      <c r="DQ13" s="1260"/>
      <c r="DR13" s="1260"/>
      <c r="DS13" s="1260"/>
      <c r="DT13" s="1260"/>
      <c r="DU13" s="1260"/>
      <c r="DV13" s="1260"/>
      <c r="DW13" s="1260"/>
      <c r="DX13" s="1260"/>
      <c r="DY13" s="1260"/>
      <c r="DZ13" s="1260"/>
      <c r="EA13" s="1260"/>
      <c r="EB13" s="1260"/>
      <c r="EC13" s="1260"/>
      <c r="ED13" s="1260"/>
      <c r="EE13" s="1260"/>
      <c r="EF13" s="1260"/>
      <c r="EG13" s="1260"/>
      <c r="EH13" s="1260"/>
      <c r="EI13" s="1260"/>
      <c r="EJ13" s="1260"/>
      <c r="EK13" s="1260"/>
      <c r="EL13" s="1260"/>
      <c r="EM13" s="1260"/>
      <c r="EN13" s="1260"/>
      <c r="EO13" s="1260"/>
      <c r="EP13" s="1260"/>
      <c r="EQ13" s="1260"/>
      <c r="ER13" s="1260"/>
      <c r="ES13" s="1260"/>
      <c r="ET13" s="1260"/>
      <c r="EU13" s="1260"/>
      <c r="EV13" s="1260"/>
      <c r="EW13" s="1260"/>
      <c r="EX13" s="1260"/>
      <c r="EY13" s="1260"/>
      <c r="EZ13" s="1260"/>
      <c r="FA13" s="1260"/>
      <c r="FB13" s="1260"/>
      <c r="FC13" s="1252"/>
      <c r="FD13" s="1260"/>
      <c r="FE13" s="1260"/>
      <c r="FF13" s="1272"/>
      <c r="FG13" s="1260"/>
      <c r="FH13" s="1260"/>
      <c r="FI13" s="1260"/>
      <c r="FJ13" s="1260"/>
      <c r="FK13" s="1260"/>
      <c r="FL13" s="1275"/>
      <c r="FM13" s="1275"/>
      <c r="FN13" s="1276"/>
      <c r="FO13" s="1260"/>
      <c r="FP13" s="1260"/>
      <c r="FQ13" s="1260"/>
      <c r="FR13" s="1260"/>
      <c r="FS13" s="1260"/>
      <c r="FT13" s="1260"/>
      <c r="FU13" s="1260"/>
      <c r="FV13" s="1260"/>
      <c r="FW13" s="1277"/>
    </row>
    <row r="14" spans="1:179" s="1278" customFormat="1" ht="31.5" x14ac:dyDescent="0.2">
      <c r="A14" s="2103"/>
      <c r="B14" s="1268" t="s">
        <v>845</v>
      </c>
      <c r="C14" s="1269">
        <f>план!C17</f>
        <v>94000</v>
      </c>
      <c r="D14" s="1270">
        <f>план!D17</f>
        <v>78333.333333333343</v>
      </c>
      <c r="E14" s="1249">
        <f>план!F17</f>
        <v>0.84454157361400373</v>
      </c>
      <c r="F14" s="1249"/>
      <c r="G14" s="1271">
        <f>план!H17</f>
        <v>0.84454157361400373</v>
      </c>
      <c r="H14" s="1249"/>
      <c r="I14" s="1249"/>
      <c r="J14" s="1249"/>
      <c r="K14" s="1249"/>
      <c r="L14" s="1284"/>
      <c r="M14" s="1284"/>
      <c r="N14" s="1284"/>
      <c r="O14" s="1284"/>
      <c r="P14" s="1284"/>
      <c r="Q14" s="1284"/>
      <c r="R14" s="1284"/>
      <c r="S14" s="1284"/>
      <c r="T14" s="1284"/>
      <c r="U14" s="1284"/>
      <c r="V14" s="1284"/>
      <c r="W14" s="1284"/>
      <c r="X14" s="1284">
        <f>план!BF17</f>
        <v>803.24137931034488</v>
      </c>
      <c r="Y14" s="1284"/>
      <c r="Z14" s="1284"/>
      <c r="AA14" s="1284"/>
      <c r="AB14" s="1284"/>
      <c r="AC14" s="1284"/>
      <c r="AD14" s="1284"/>
      <c r="AE14" s="1284"/>
      <c r="AF14" s="1284"/>
      <c r="AG14" s="1284"/>
      <c r="AH14" s="1284"/>
      <c r="AI14" s="1284"/>
      <c r="AJ14" s="1275"/>
      <c r="AK14" s="1275"/>
      <c r="AL14" s="1754"/>
      <c r="AM14" s="1754"/>
      <c r="AN14" s="1754"/>
      <c r="AO14" s="1754"/>
      <c r="AP14" s="1754"/>
      <c r="AQ14" s="1754"/>
      <c r="AR14" s="1754"/>
      <c r="AS14" s="1754"/>
      <c r="AT14" s="1754"/>
      <c r="AU14" s="1754"/>
      <c r="AV14" s="1754"/>
      <c r="AW14" s="1754"/>
      <c r="AX14" s="1754"/>
      <c r="AY14" s="1754"/>
      <c r="AZ14" s="1754"/>
      <c r="BA14" s="1754"/>
      <c r="BB14" s="1275"/>
      <c r="BC14" s="1275"/>
      <c r="BD14" s="1754"/>
      <c r="BE14" s="1275"/>
      <c r="BF14" s="1275"/>
      <c r="BG14" s="1754"/>
      <c r="BH14" s="1754"/>
      <c r="BI14" s="1275"/>
      <c r="BJ14" s="1275"/>
      <c r="BK14" s="1275"/>
      <c r="BL14" s="1275"/>
      <c r="BM14" s="1755"/>
      <c r="BN14" s="1275"/>
      <c r="BO14" s="1275"/>
      <c r="BP14" s="1275"/>
      <c r="BQ14" s="1275"/>
      <c r="BR14" s="1275"/>
      <c r="BS14" s="1275"/>
      <c r="BT14" s="1275"/>
      <c r="BU14" s="1275"/>
      <c r="BV14" s="1275"/>
      <c r="BW14" s="1275"/>
      <c r="BX14" s="1275"/>
      <c r="BY14" s="1275"/>
      <c r="BZ14" s="1275"/>
      <c r="CA14" s="1275"/>
      <c r="CB14" s="1275"/>
      <c r="CC14" s="1275"/>
      <c r="CD14" s="1275"/>
      <c r="CE14" s="1275"/>
      <c r="CF14" s="1275"/>
      <c r="CG14" s="1275"/>
      <c r="CH14" s="1275"/>
      <c r="CI14" s="1756"/>
      <c r="CJ14" s="1275"/>
      <c r="CK14" s="1275"/>
      <c r="CL14" s="1275"/>
      <c r="CM14" s="1757"/>
      <c r="CN14" s="1757"/>
      <c r="CO14" s="1757"/>
      <c r="CP14" s="1757"/>
      <c r="CQ14" s="1275"/>
      <c r="CR14" s="1275"/>
      <c r="CS14" s="1275"/>
      <c r="CT14" s="1275"/>
      <c r="CU14" s="1275"/>
      <c r="CV14" s="1275"/>
      <c r="CW14" s="1275"/>
      <c r="CX14" s="1275"/>
      <c r="CY14" s="1275"/>
      <c r="CZ14" s="1275"/>
      <c r="DA14" s="1260"/>
      <c r="DB14" s="1260"/>
      <c r="DC14" s="1260"/>
      <c r="DD14" s="1260"/>
      <c r="DE14" s="1260"/>
      <c r="DF14" s="1273"/>
      <c r="DG14" s="1273"/>
      <c r="DH14" s="1260"/>
      <c r="DI14" s="1260"/>
      <c r="DJ14" s="1260"/>
      <c r="DK14" s="1260"/>
      <c r="DL14" s="1260"/>
      <c r="DM14" s="1260"/>
      <c r="DN14" s="1260"/>
      <c r="DO14" s="1260"/>
      <c r="DP14" s="1260"/>
      <c r="DQ14" s="1260"/>
      <c r="DR14" s="1260"/>
      <c r="DS14" s="1260"/>
      <c r="DT14" s="1260"/>
      <c r="DU14" s="1260"/>
      <c r="DV14" s="1260"/>
      <c r="DW14" s="1260"/>
      <c r="DX14" s="1260"/>
      <c r="DY14" s="1260"/>
      <c r="DZ14" s="1260"/>
      <c r="EA14" s="1260"/>
      <c r="EB14" s="1260"/>
      <c r="EC14" s="1260"/>
      <c r="ED14" s="1260"/>
      <c r="EE14" s="1260"/>
      <c r="EF14" s="1260"/>
      <c r="EG14" s="1260"/>
      <c r="EH14" s="1260"/>
      <c r="EI14" s="1260"/>
      <c r="EJ14" s="1260"/>
      <c r="EK14" s="1260"/>
      <c r="EL14" s="1260"/>
      <c r="EM14" s="1260"/>
      <c r="EN14" s="1260"/>
      <c r="EO14" s="1260"/>
      <c r="EP14" s="1260"/>
      <c r="EQ14" s="1260"/>
      <c r="ER14" s="1260"/>
      <c r="ES14" s="1260"/>
      <c r="ET14" s="1260"/>
      <c r="EU14" s="1260"/>
      <c r="EV14" s="1260"/>
      <c r="EW14" s="1260"/>
      <c r="EX14" s="1260"/>
      <c r="EY14" s="1260"/>
      <c r="EZ14" s="1260"/>
      <c r="FA14" s="1260"/>
      <c r="FB14" s="1260"/>
      <c r="FC14" s="1252"/>
      <c r="FD14" s="1260"/>
      <c r="FE14" s="1260"/>
      <c r="FF14" s="1272"/>
      <c r="FG14" s="1260"/>
      <c r="FH14" s="1260"/>
      <c r="FI14" s="1260"/>
      <c r="FJ14" s="1260"/>
      <c r="FK14" s="1260"/>
      <c r="FL14" s="1275"/>
      <c r="FM14" s="1275"/>
      <c r="FN14" s="1276"/>
      <c r="FO14" s="1260"/>
      <c r="FP14" s="1260"/>
      <c r="FQ14" s="1260"/>
      <c r="FR14" s="1260"/>
      <c r="FS14" s="1260"/>
      <c r="FT14" s="1260"/>
      <c r="FU14" s="1260"/>
      <c r="FV14" s="1260"/>
      <c r="FW14" s="1277"/>
    </row>
    <row r="15" spans="1:179" s="1278" customFormat="1" ht="47.25" x14ac:dyDescent="0.2">
      <c r="A15" s="2103"/>
      <c r="B15" s="1279" t="s">
        <v>846</v>
      </c>
      <c r="C15" s="1280">
        <f>план!C18</f>
        <v>369635.23505754245</v>
      </c>
      <c r="D15" s="1281">
        <f>план!D18</f>
        <v>308029.36254795204</v>
      </c>
      <c r="E15" s="1250">
        <f>план!F18</f>
        <v>3.565419871443698</v>
      </c>
      <c r="F15" s="1250"/>
      <c r="G15" s="1251">
        <f>план!H18</f>
        <v>3.565419871443698</v>
      </c>
      <c r="H15" s="1250"/>
      <c r="I15" s="1250"/>
      <c r="J15" s="1250"/>
      <c r="K15" s="1250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>
        <f>план!BF18</f>
        <v>3377.2874482758616</v>
      </c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J15" s="1260"/>
      <c r="AK15" s="1260"/>
      <c r="AL15" s="1256"/>
      <c r="AM15" s="1256"/>
      <c r="AN15" s="1256"/>
      <c r="AO15" s="1256"/>
      <c r="AP15" s="1256"/>
      <c r="AQ15" s="1256"/>
      <c r="AR15" s="1256"/>
      <c r="AS15" s="1256"/>
      <c r="AT15" s="1256"/>
      <c r="AU15" s="1256"/>
      <c r="AV15" s="1256"/>
      <c r="AW15" s="1256"/>
      <c r="AX15" s="1256"/>
      <c r="AY15" s="1256"/>
      <c r="AZ15" s="1256"/>
      <c r="BA15" s="1256"/>
      <c r="BB15" s="1260"/>
      <c r="BC15" s="1260"/>
      <c r="BD15" s="1256"/>
      <c r="BE15" s="1260"/>
      <c r="BF15" s="1260"/>
      <c r="BG15" s="1256"/>
      <c r="BH15" s="1256"/>
      <c r="BI15" s="1260"/>
      <c r="BJ15" s="1260"/>
      <c r="BK15" s="1260"/>
      <c r="BL15" s="1260"/>
      <c r="BM15" s="1272"/>
      <c r="BN15" s="1260"/>
      <c r="BO15" s="1260"/>
      <c r="BP15" s="1260"/>
      <c r="BQ15" s="1260"/>
      <c r="BR15" s="1260"/>
      <c r="BS15" s="1260"/>
      <c r="BT15" s="1260"/>
      <c r="BU15" s="1260"/>
      <c r="BV15" s="1260"/>
      <c r="BW15" s="1260"/>
      <c r="BX15" s="1260"/>
      <c r="BY15" s="1260"/>
      <c r="BZ15" s="1260"/>
      <c r="CA15" s="1260"/>
      <c r="CB15" s="1260"/>
      <c r="CC15" s="1260"/>
      <c r="CD15" s="1260"/>
      <c r="CE15" s="1260"/>
      <c r="CF15" s="1260"/>
      <c r="CG15" s="1260"/>
      <c r="CH15" s="1260"/>
      <c r="CI15" s="1273"/>
      <c r="CJ15" s="1260"/>
      <c r="CK15" s="1260"/>
      <c r="CL15" s="1260"/>
      <c r="CM15" s="1274"/>
      <c r="CN15" s="1274"/>
      <c r="CO15" s="1274"/>
      <c r="CP15" s="1274"/>
      <c r="CQ15" s="1260"/>
      <c r="CR15" s="1260"/>
      <c r="CS15" s="1260"/>
      <c r="CT15" s="1260"/>
      <c r="CU15" s="1260"/>
      <c r="CV15" s="1260"/>
      <c r="CW15" s="1260"/>
      <c r="CX15" s="1260"/>
      <c r="CY15" s="1260"/>
      <c r="CZ15" s="1260"/>
      <c r="DA15" s="1260"/>
      <c r="DB15" s="1260"/>
      <c r="DC15" s="1260"/>
      <c r="DD15" s="1260"/>
      <c r="DE15" s="1260"/>
      <c r="DF15" s="1273"/>
      <c r="DG15" s="1273"/>
      <c r="DH15" s="1260"/>
      <c r="DI15" s="1260"/>
      <c r="DJ15" s="1260"/>
      <c r="DK15" s="1260"/>
      <c r="DL15" s="1260"/>
      <c r="DM15" s="1260"/>
      <c r="DN15" s="1260"/>
      <c r="DO15" s="1260"/>
      <c r="DP15" s="1260"/>
      <c r="DQ15" s="1260"/>
      <c r="DR15" s="1260"/>
      <c r="DS15" s="1260"/>
      <c r="DT15" s="1260"/>
      <c r="DU15" s="1260"/>
      <c r="DV15" s="1260"/>
      <c r="DW15" s="1260"/>
      <c r="DX15" s="1260"/>
      <c r="DY15" s="1260"/>
      <c r="DZ15" s="1260"/>
      <c r="EA15" s="1260"/>
      <c r="EB15" s="1260"/>
      <c r="EC15" s="1260"/>
      <c r="ED15" s="1260"/>
      <c r="EE15" s="1260"/>
      <c r="EF15" s="1260"/>
      <c r="EG15" s="1260"/>
      <c r="EH15" s="1260"/>
      <c r="EI15" s="1260"/>
      <c r="EJ15" s="1260"/>
      <c r="EK15" s="1260"/>
      <c r="EL15" s="1260"/>
      <c r="EM15" s="1260"/>
      <c r="EN15" s="1260"/>
      <c r="EO15" s="1260"/>
      <c r="EP15" s="1260"/>
      <c r="EQ15" s="1260"/>
      <c r="ER15" s="1260"/>
      <c r="ES15" s="1260"/>
      <c r="ET15" s="1260"/>
      <c r="EU15" s="1260"/>
      <c r="EV15" s="1260"/>
      <c r="EW15" s="1260"/>
      <c r="EX15" s="1260"/>
      <c r="EY15" s="1260"/>
      <c r="EZ15" s="1260"/>
      <c r="FA15" s="1260"/>
      <c r="FB15" s="1260"/>
      <c r="FC15" s="1252"/>
      <c r="FD15" s="1260"/>
      <c r="FE15" s="1260"/>
      <c r="FF15" s="1272"/>
      <c r="FG15" s="1260"/>
      <c r="FH15" s="1260"/>
      <c r="FI15" s="1260"/>
      <c r="FJ15" s="1260"/>
      <c r="FK15" s="1260"/>
      <c r="FL15" s="1275"/>
      <c r="FM15" s="1275"/>
      <c r="FN15" s="1276"/>
      <c r="FO15" s="1260"/>
      <c r="FP15" s="1260"/>
      <c r="FQ15" s="1260"/>
      <c r="FR15" s="1260"/>
      <c r="FS15" s="1260"/>
      <c r="FT15" s="1260"/>
      <c r="FU15" s="1260"/>
      <c r="FV15" s="1260"/>
      <c r="FW15" s="1277"/>
    </row>
    <row r="16" spans="1:179" s="1278" customFormat="1" ht="31.5" x14ac:dyDescent="0.2">
      <c r="A16" s="2103"/>
      <c r="B16" s="1282" t="s">
        <v>847</v>
      </c>
      <c r="C16" s="1283">
        <f>план!C19</f>
        <v>44580.974842767289</v>
      </c>
      <c r="D16" s="1270">
        <f>план!D19</f>
        <v>37150.812368972744</v>
      </c>
      <c r="E16" s="1250">
        <f>план!F19</f>
        <v>1</v>
      </c>
      <c r="F16" s="1250"/>
      <c r="G16" s="1251">
        <f>план!H19</f>
        <v>1</v>
      </c>
      <c r="H16" s="1250"/>
      <c r="I16" s="1250"/>
      <c r="J16" s="1250"/>
      <c r="K16" s="1250"/>
      <c r="L16" s="1284"/>
      <c r="M16" s="1284"/>
      <c r="N16" s="1284"/>
      <c r="O16" s="1284"/>
      <c r="P16" s="1284"/>
      <c r="Q16" s="1284"/>
      <c r="R16" s="1284"/>
      <c r="S16" s="1284"/>
      <c r="T16" s="1284"/>
      <c r="U16" s="1284"/>
      <c r="V16" s="1284"/>
      <c r="W16" s="1284"/>
      <c r="X16" s="1284"/>
      <c r="Y16" s="1284"/>
      <c r="Z16" s="1284"/>
      <c r="AA16" s="1284"/>
      <c r="AB16" s="1284"/>
      <c r="AC16" s="1284"/>
      <c r="AD16" s="1284"/>
      <c r="AE16" s="1284"/>
      <c r="AF16" s="1284"/>
      <c r="AG16" s="1284"/>
      <c r="AH16" s="1284"/>
      <c r="AI16" s="1284"/>
      <c r="AJ16" s="1275"/>
      <c r="AK16" s="1275"/>
      <c r="AL16" s="1256"/>
      <c r="AM16" s="1256"/>
      <c r="AN16" s="1256"/>
      <c r="AO16" s="1256"/>
      <c r="AP16" s="1256"/>
      <c r="AQ16" s="1256"/>
      <c r="AR16" s="1256"/>
      <c r="AS16" s="1256"/>
      <c r="AT16" s="1256"/>
      <c r="AU16" s="1256"/>
      <c r="AV16" s="1256"/>
      <c r="AW16" s="1256"/>
      <c r="AX16" s="1256"/>
      <c r="AY16" s="1256"/>
      <c r="AZ16" s="1256"/>
      <c r="BA16" s="1256"/>
      <c r="BB16" s="1260"/>
      <c r="BC16" s="1260"/>
      <c r="BD16" s="1256"/>
      <c r="BE16" s="1260"/>
      <c r="BF16" s="1260"/>
      <c r="BG16" s="1256"/>
      <c r="BH16" s="1256"/>
      <c r="BI16" s="1260"/>
      <c r="BJ16" s="1260"/>
      <c r="BK16" s="1260"/>
      <c r="BL16" s="1260"/>
      <c r="BM16" s="1272"/>
      <c r="BN16" s="1260"/>
      <c r="BO16" s="1260"/>
      <c r="BP16" s="1260"/>
      <c r="BQ16" s="1260"/>
      <c r="BR16" s="1260"/>
      <c r="BS16" s="1260"/>
      <c r="BT16" s="1260"/>
      <c r="BU16" s="1260"/>
      <c r="BV16" s="1260"/>
      <c r="BW16" s="1260"/>
      <c r="BX16" s="1260"/>
      <c r="BY16" s="1260"/>
      <c r="BZ16" s="1260"/>
      <c r="CA16" s="1260"/>
      <c r="CB16" s="1260"/>
      <c r="CC16" s="1260"/>
      <c r="CD16" s="1260"/>
      <c r="CE16" s="1260"/>
      <c r="CF16" s="1260"/>
      <c r="CG16" s="1260"/>
      <c r="CH16" s="1260"/>
      <c r="CI16" s="1273"/>
      <c r="CJ16" s="1260"/>
      <c r="CK16" s="1260"/>
      <c r="CL16" s="1260"/>
      <c r="CM16" s="1274"/>
      <c r="CN16" s="1274"/>
      <c r="CO16" s="1274"/>
      <c r="CP16" s="1274"/>
      <c r="CQ16" s="1260"/>
      <c r="CR16" s="1260"/>
      <c r="CS16" s="1260"/>
      <c r="CT16" s="1260"/>
      <c r="CU16" s="1260"/>
      <c r="CV16" s="1260"/>
      <c r="CW16" s="1260"/>
      <c r="CX16" s="1260"/>
      <c r="CY16" s="1260"/>
      <c r="CZ16" s="1260"/>
      <c r="DA16" s="1260"/>
      <c r="DB16" s="1260"/>
      <c r="DC16" s="1260"/>
      <c r="DD16" s="1260"/>
      <c r="DE16" s="1260"/>
      <c r="DF16" s="1273"/>
      <c r="DG16" s="1273"/>
      <c r="DH16" s="1260"/>
      <c r="DI16" s="1260"/>
      <c r="DJ16" s="1260"/>
      <c r="DK16" s="1260"/>
      <c r="DL16" s="1260"/>
      <c r="DM16" s="1260"/>
      <c r="DN16" s="1260"/>
      <c r="DO16" s="1260"/>
      <c r="DP16" s="1260"/>
      <c r="DQ16" s="1260"/>
      <c r="DR16" s="1260"/>
      <c r="DS16" s="1260"/>
      <c r="DT16" s="1260"/>
      <c r="DU16" s="1260"/>
      <c r="DV16" s="1260"/>
      <c r="DW16" s="1260"/>
      <c r="DX16" s="1260"/>
      <c r="DY16" s="1260"/>
      <c r="DZ16" s="1260"/>
      <c r="EA16" s="1260"/>
      <c r="EB16" s="1260"/>
      <c r="EC16" s="1260"/>
      <c r="ED16" s="1260"/>
      <c r="EE16" s="1260"/>
      <c r="EF16" s="1260"/>
      <c r="EG16" s="1260"/>
      <c r="EH16" s="1260"/>
      <c r="EI16" s="1260"/>
      <c r="EJ16" s="1260"/>
      <c r="EK16" s="1260"/>
      <c r="EL16" s="1260"/>
      <c r="EM16" s="1260"/>
      <c r="EN16" s="1260"/>
      <c r="EO16" s="1260"/>
      <c r="EP16" s="1260"/>
      <c r="EQ16" s="1260"/>
      <c r="ER16" s="1260"/>
      <c r="ES16" s="1260"/>
      <c r="ET16" s="1260"/>
      <c r="EU16" s="1260"/>
      <c r="EV16" s="1260"/>
      <c r="EW16" s="1260"/>
      <c r="EX16" s="1260"/>
      <c r="EY16" s="1260"/>
      <c r="EZ16" s="1260"/>
      <c r="FA16" s="1260"/>
      <c r="FB16" s="1260"/>
      <c r="FC16" s="1252"/>
      <c r="FD16" s="1260"/>
      <c r="FE16" s="1260"/>
      <c r="FF16" s="1272"/>
      <c r="FG16" s="1260"/>
      <c r="FH16" s="1260"/>
      <c r="FI16" s="1260"/>
      <c r="FJ16" s="1260"/>
      <c r="FK16" s="1260"/>
      <c r="FL16" s="1275"/>
      <c r="FM16" s="1275"/>
      <c r="FN16" s="1276"/>
      <c r="FO16" s="1260"/>
      <c r="FP16" s="1260"/>
      <c r="FQ16" s="1260"/>
      <c r="FR16" s="1260"/>
      <c r="FS16" s="1260"/>
      <c r="FT16" s="1260"/>
      <c r="FU16" s="1260"/>
      <c r="FV16" s="1260"/>
      <c r="FW16" s="1277"/>
    </row>
    <row r="17" spans="1:179" s="454" customFormat="1" x14ac:dyDescent="0.2">
      <c r="A17" s="2103"/>
      <c r="B17" s="689"/>
      <c r="C17" s="449"/>
      <c r="D17" s="450"/>
      <c r="E17" s="451"/>
      <c r="F17" s="451"/>
      <c r="G17" s="452"/>
      <c r="H17" s="451"/>
      <c r="I17" s="451"/>
      <c r="J17" s="451"/>
      <c r="K17" s="451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2"/>
      <c r="AJ17" s="403"/>
      <c r="AK17" s="403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402"/>
      <c r="BC17" s="402"/>
      <c r="BD17" s="399"/>
      <c r="BE17" s="402"/>
      <c r="BF17" s="402"/>
      <c r="BG17" s="399"/>
      <c r="BH17" s="399"/>
      <c r="BI17" s="402"/>
      <c r="BJ17" s="402"/>
      <c r="BK17" s="402"/>
      <c r="BL17" s="402"/>
      <c r="BM17" s="455"/>
      <c r="BN17" s="402"/>
      <c r="BO17" s="402"/>
      <c r="BP17" s="402"/>
      <c r="BQ17" s="402"/>
      <c r="BR17" s="402"/>
      <c r="BS17" s="402"/>
      <c r="BT17" s="402"/>
      <c r="BU17" s="402"/>
      <c r="BV17" s="402"/>
      <c r="BW17" s="402"/>
      <c r="BX17" s="402"/>
      <c r="BY17" s="402"/>
      <c r="BZ17" s="402"/>
      <c r="CA17" s="402"/>
      <c r="CB17" s="402"/>
      <c r="CC17" s="402"/>
      <c r="CD17" s="402"/>
      <c r="CE17" s="402"/>
      <c r="CF17" s="402"/>
      <c r="CG17" s="402"/>
      <c r="CH17" s="402"/>
      <c r="CI17" s="463"/>
      <c r="CJ17" s="402"/>
      <c r="CK17" s="402"/>
      <c r="CL17" s="402"/>
      <c r="CM17" s="461"/>
      <c r="CN17" s="461"/>
      <c r="CO17" s="461"/>
      <c r="CP17" s="461"/>
      <c r="CQ17" s="402"/>
      <c r="CR17" s="402"/>
      <c r="CS17" s="402"/>
      <c r="CT17" s="402"/>
      <c r="CU17" s="402"/>
      <c r="CV17" s="402"/>
      <c r="CW17" s="402"/>
      <c r="CX17" s="402"/>
      <c r="CY17" s="402"/>
      <c r="CZ17" s="402"/>
      <c r="DA17" s="402"/>
      <c r="DB17" s="402"/>
      <c r="DC17" s="402"/>
      <c r="DD17" s="402"/>
      <c r="DE17" s="402"/>
      <c r="DF17" s="463"/>
      <c r="DG17" s="463"/>
      <c r="DH17" s="402"/>
      <c r="DI17" s="402"/>
      <c r="DJ17" s="402"/>
      <c r="DK17" s="402"/>
      <c r="DL17" s="402"/>
      <c r="DM17" s="402"/>
      <c r="DN17" s="402"/>
      <c r="DO17" s="402"/>
      <c r="DP17" s="402"/>
      <c r="DQ17" s="402"/>
      <c r="DR17" s="402"/>
      <c r="DS17" s="402"/>
      <c r="DT17" s="402"/>
      <c r="DU17" s="402"/>
      <c r="DV17" s="402"/>
      <c r="DW17" s="402"/>
      <c r="DX17" s="402"/>
      <c r="DY17" s="402"/>
      <c r="DZ17" s="402"/>
      <c r="EA17" s="402"/>
      <c r="EB17" s="402"/>
      <c r="EC17" s="402"/>
      <c r="ED17" s="402"/>
      <c r="EE17" s="402"/>
      <c r="EF17" s="402"/>
      <c r="EG17" s="402"/>
      <c r="EH17" s="402"/>
      <c r="EI17" s="402"/>
      <c r="EJ17" s="402"/>
      <c r="EK17" s="402"/>
      <c r="EL17" s="402"/>
      <c r="EM17" s="402"/>
      <c r="EN17" s="402"/>
      <c r="EO17" s="402"/>
      <c r="EP17" s="402"/>
      <c r="EQ17" s="402"/>
      <c r="ER17" s="402"/>
      <c r="ES17" s="402"/>
      <c r="ET17" s="402"/>
      <c r="EU17" s="402"/>
      <c r="EV17" s="402"/>
      <c r="EW17" s="402"/>
      <c r="EX17" s="402"/>
      <c r="EY17" s="402"/>
      <c r="EZ17" s="402"/>
      <c r="FA17" s="402"/>
      <c r="FB17" s="402"/>
      <c r="FC17" s="625"/>
      <c r="FD17" s="402"/>
      <c r="FE17" s="402"/>
      <c r="FF17" s="455"/>
      <c r="FG17" s="402"/>
      <c r="FH17" s="402"/>
      <c r="FI17" s="402"/>
      <c r="FJ17" s="402"/>
      <c r="FK17" s="402"/>
      <c r="FL17" s="403"/>
      <c r="FM17" s="403"/>
      <c r="FN17" s="940"/>
      <c r="FO17" s="402"/>
      <c r="FP17" s="402"/>
      <c r="FQ17" s="402"/>
      <c r="FR17" s="402"/>
      <c r="FS17" s="402"/>
      <c r="FT17" s="402"/>
      <c r="FU17" s="402"/>
      <c r="FV17" s="402"/>
      <c r="FW17" s="462"/>
    </row>
    <row r="18" spans="1:179" s="454" customFormat="1" hidden="1" x14ac:dyDescent="0.2">
      <c r="A18" s="2103"/>
      <c r="B18" s="421" t="s">
        <v>517</v>
      </c>
      <c r="C18" s="1099"/>
      <c r="D18" s="450"/>
      <c r="E18" s="1100"/>
      <c r="F18" s="1100"/>
      <c r="G18" s="1101"/>
      <c r="H18" s="451"/>
      <c r="I18" s="451"/>
      <c r="J18" s="451"/>
      <c r="K18" s="451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2"/>
      <c r="AJ18" s="403"/>
      <c r="AK18" s="403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402"/>
      <c r="BC18" s="402"/>
      <c r="BD18" s="399"/>
      <c r="BE18" s="402"/>
      <c r="BF18" s="402"/>
      <c r="BG18" s="399"/>
      <c r="BH18" s="399"/>
      <c r="BI18" s="402"/>
      <c r="BJ18" s="402"/>
      <c r="BK18" s="402"/>
      <c r="BL18" s="402"/>
      <c r="BM18" s="455"/>
      <c r="BN18" s="402"/>
      <c r="BO18" s="402"/>
      <c r="BP18" s="402"/>
      <c r="BQ18" s="402"/>
      <c r="BR18" s="402"/>
      <c r="BS18" s="402"/>
      <c r="BT18" s="402"/>
      <c r="BU18" s="402"/>
      <c r="BV18" s="402"/>
      <c r="BW18" s="402"/>
      <c r="BX18" s="402"/>
      <c r="BY18" s="402"/>
      <c r="BZ18" s="402"/>
      <c r="CA18" s="402"/>
      <c r="CB18" s="402"/>
      <c r="CC18" s="402"/>
      <c r="CD18" s="402"/>
      <c r="CE18" s="402"/>
      <c r="CF18" s="402"/>
      <c r="CG18" s="402"/>
      <c r="CH18" s="402"/>
      <c r="CI18" s="463"/>
      <c r="CJ18" s="402"/>
      <c r="CK18" s="402"/>
      <c r="CL18" s="402"/>
      <c r="CM18" s="461"/>
      <c r="CN18" s="461"/>
      <c r="CO18" s="461"/>
      <c r="CP18" s="461"/>
      <c r="CQ18" s="402"/>
      <c r="CR18" s="402"/>
      <c r="CS18" s="402"/>
      <c r="CT18" s="402"/>
      <c r="CU18" s="402"/>
      <c r="CV18" s="402"/>
      <c r="CW18" s="402"/>
      <c r="CX18" s="402"/>
      <c r="CY18" s="402"/>
      <c r="CZ18" s="402"/>
      <c r="DA18" s="402"/>
      <c r="DB18" s="402"/>
      <c r="DC18" s="402"/>
      <c r="DD18" s="402"/>
      <c r="DE18" s="402"/>
      <c r="DF18" s="463"/>
      <c r="DG18" s="463"/>
      <c r="DH18" s="402"/>
      <c r="DI18" s="402"/>
      <c r="DJ18" s="402"/>
      <c r="DK18" s="402"/>
      <c r="DL18" s="402"/>
      <c r="DM18" s="402"/>
      <c r="DN18" s="402"/>
      <c r="DO18" s="402"/>
      <c r="DP18" s="402"/>
      <c r="DQ18" s="402"/>
      <c r="DR18" s="402"/>
      <c r="DS18" s="402"/>
      <c r="DT18" s="402"/>
      <c r="DU18" s="402"/>
      <c r="DV18" s="402"/>
      <c r="DW18" s="402"/>
      <c r="DX18" s="402"/>
      <c r="DY18" s="402"/>
      <c r="DZ18" s="402"/>
      <c r="EA18" s="402"/>
      <c r="EB18" s="402"/>
      <c r="EC18" s="402"/>
      <c r="ED18" s="402"/>
      <c r="EE18" s="402"/>
      <c r="EF18" s="402"/>
      <c r="EG18" s="402"/>
      <c r="EH18" s="402"/>
      <c r="EI18" s="402"/>
      <c r="EJ18" s="402"/>
      <c r="EK18" s="402"/>
      <c r="EL18" s="402"/>
      <c r="EM18" s="402"/>
      <c r="EN18" s="402"/>
      <c r="EO18" s="402"/>
      <c r="EP18" s="402"/>
      <c r="EQ18" s="402"/>
      <c r="ER18" s="402"/>
      <c r="ES18" s="402"/>
      <c r="ET18" s="402"/>
      <c r="EU18" s="402"/>
      <c r="EV18" s="402"/>
      <c r="EW18" s="402"/>
      <c r="EX18" s="402"/>
      <c r="EY18" s="402"/>
      <c r="EZ18" s="402"/>
      <c r="FA18" s="402"/>
      <c r="FB18" s="402"/>
      <c r="FC18" s="625"/>
      <c r="FD18" s="402"/>
      <c r="FE18" s="402"/>
      <c r="FF18" s="455"/>
      <c r="FG18" s="402"/>
      <c r="FH18" s="402"/>
      <c r="FI18" s="402"/>
      <c r="FJ18" s="402"/>
      <c r="FK18" s="402"/>
      <c r="FL18" s="403"/>
      <c r="FM18" s="403"/>
      <c r="FN18" s="940"/>
      <c r="FO18" s="402"/>
      <c r="FP18" s="402"/>
      <c r="FQ18" s="402"/>
      <c r="FR18" s="402"/>
      <c r="FS18" s="402"/>
      <c r="FT18" s="402"/>
      <c r="FU18" s="402"/>
      <c r="FV18" s="402"/>
      <c r="FW18" s="462"/>
    </row>
    <row r="19" spans="1:179" s="454" customFormat="1" hidden="1" x14ac:dyDescent="0.2">
      <c r="A19" s="2103"/>
      <c r="B19" s="916" t="s">
        <v>601</v>
      </c>
      <c r="C19" s="773">
        <f>план!C22</f>
        <v>0</v>
      </c>
      <c r="D19" s="774">
        <f>план!D22</f>
        <v>0</v>
      </c>
      <c r="E19" s="451">
        <f>план!F22</f>
        <v>0</v>
      </c>
      <c r="F19" s="451"/>
      <c r="G19" s="452"/>
      <c r="H19" s="451"/>
      <c r="I19" s="451">
        <f>план!J22</f>
        <v>0</v>
      </c>
      <c r="J19" s="451"/>
      <c r="K19" s="451"/>
      <c r="L19" s="625">
        <f>план!Y22</f>
        <v>0</v>
      </c>
      <c r="M19" s="625">
        <f>план!AE22</f>
        <v>0</v>
      </c>
      <c r="N19" s="625"/>
      <c r="O19" s="625"/>
      <c r="P19" s="625"/>
      <c r="Q19" s="625">
        <f>план!AJ22</f>
        <v>0</v>
      </c>
      <c r="R19" s="625"/>
      <c r="S19" s="625"/>
      <c r="T19" s="625">
        <f>план!AM22</f>
        <v>0</v>
      </c>
      <c r="U19" s="625"/>
      <c r="V19" s="625"/>
      <c r="W19" s="625"/>
      <c r="X19" s="625"/>
      <c r="Y19" s="625">
        <f>план!BJ22</f>
        <v>0</v>
      </c>
      <c r="Z19" s="625"/>
      <c r="AA19" s="625">
        <f>план!BL22</f>
        <v>0</v>
      </c>
      <c r="AB19" s="625"/>
      <c r="AC19" s="625"/>
      <c r="AD19" s="625"/>
      <c r="AE19" s="625"/>
      <c r="AF19" s="625"/>
      <c r="AG19" s="625"/>
      <c r="AH19" s="625"/>
      <c r="AI19" s="625"/>
      <c r="AJ19" s="402"/>
      <c r="AK19" s="402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402"/>
      <c r="BC19" s="402"/>
      <c r="BD19" s="399"/>
      <c r="BE19" s="402"/>
      <c r="BF19" s="402"/>
      <c r="BG19" s="399"/>
      <c r="BH19" s="399"/>
      <c r="BI19" s="402"/>
      <c r="BJ19" s="402"/>
      <c r="BK19" s="402"/>
      <c r="BL19" s="402"/>
      <c r="BM19" s="455"/>
      <c r="BN19" s="402"/>
      <c r="BO19" s="402"/>
      <c r="BP19" s="402"/>
      <c r="BQ19" s="402"/>
      <c r="BR19" s="402"/>
      <c r="BS19" s="402"/>
      <c r="BT19" s="402"/>
      <c r="BU19" s="402"/>
      <c r="BV19" s="402"/>
      <c r="BW19" s="402"/>
      <c r="BX19" s="402"/>
      <c r="BY19" s="402"/>
      <c r="BZ19" s="402"/>
      <c r="CA19" s="402"/>
      <c r="CB19" s="402"/>
      <c r="CC19" s="402"/>
      <c r="CD19" s="402"/>
      <c r="CE19" s="402"/>
      <c r="CF19" s="402"/>
      <c r="CG19" s="402"/>
      <c r="CH19" s="402"/>
      <c r="CI19" s="463"/>
      <c r="CJ19" s="402"/>
      <c r="CK19" s="402"/>
      <c r="CL19" s="402"/>
      <c r="CM19" s="461"/>
      <c r="CN19" s="461"/>
      <c r="CO19" s="461"/>
      <c r="CP19" s="461"/>
      <c r="CQ19" s="402"/>
      <c r="CR19" s="402"/>
      <c r="CS19" s="402"/>
      <c r="CT19" s="402"/>
      <c r="CU19" s="402"/>
      <c r="CV19" s="402"/>
      <c r="CW19" s="402"/>
      <c r="CX19" s="402"/>
      <c r="CY19" s="402"/>
      <c r="CZ19" s="402"/>
      <c r="DA19" s="402"/>
      <c r="DB19" s="402"/>
      <c r="DC19" s="402"/>
      <c r="DD19" s="402"/>
      <c r="DE19" s="402"/>
      <c r="DF19" s="463"/>
      <c r="DG19" s="463"/>
      <c r="DH19" s="402"/>
      <c r="DI19" s="402"/>
      <c r="DJ19" s="402"/>
      <c r="DK19" s="402"/>
      <c r="DL19" s="402"/>
      <c r="DM19" s="402"/>
      <c r="DN19" s="402"/>
      <c r="DO19" s="402"/>
      <c r="DP19" s="402"/>
      <c r="DQ19" s="402"/>
      <c r="DR19" s="402"/>
      <c r="DS19" s="402"/>
      <c r="DT19" s="402"/>
      <c r="DU19" s="402"/>
      <c r="DV19" s="402"/>
      <c r="DW19" s="402"/>
      <c r="DX19" s="402"/>
      <c r="DY19" s="402"/>
      <c r="DZ19" s="402"/>
      <c r="EA19" s="402"/>
      <c r="EB19" s="402"/>
      <c r="EC19" s="402"/>
      <c r="ED19" s="402"/>
      <c r="EE19" s="402"/>
      <c r="EF19" s="402"/>
      <c r="EG19" s="402"/>
      <c r="EH19" s="402"/>
      <c r="EI19" s="402"/>
      <c r="EJ19" s="402"/>
      <c r="EK19" s="402"/>
      <c r="EL19" s="402"/>
      <c r="EM19" s="402"/>
      <c r="EN19" s="402"/>
      <c r="EO19" s="402"/>
      <c r="EP19" s="402"/>
      <c r="EQ19" s="402"/>
      <c r="ER19" s="402"/>
      <c r="ES19" s="402"/>
      <c r="ET19" s="402"/>
      <c r="EU19" s="402"/>
      <c r="EV19" s="402"/>
      <c r="EW19" s="402"/>
      <c r="EX19" s="402"/>
      <c r="EY19" s="402"/>
      <c r="EZ19" s="402"/>
      <c r="FA19" s="402"/>
      <c r="FB19" s="402"/>
      <c r="FC19" s="625"/>
      <c r="FD19" s="402"/>
      <c r="FE19" s="402"/>
      <c r="FF19" s="455"/>
      <c r="FG19" s="402"/>
      <c r="FH19" s="402"/>
      <c r="FI19" s="402"/>
      <c r="FJ19" s="402"/>
      <c r="FK19" s="402"/>
      <c r="FL19" s="403"/>
      <c r="FM19" s="403"/>
      <c r="FN19" s="940"/>
      <c r="FO19" s="402"/>
      <c r="FP19" s="402"/>
      <c r="FQ19" s="402"/>
      <c r="FR19" s="402"/>
      <c r="FS19" s="402"/>
      <c r="FT19" s="402"/>
      <c r="FU19" s="402"/>
      <c r="FV19" s="402"/>
      <c r="FW19" s="462"/>
    </row>
    <row r="20" spans="1:179" s="454" customFormat="1" ht="20.25" hidden="1" customHeight="1" x14ac:dyDescent="0.2">
      <c r="A20" s="2103"/>
      <c r="B20" s="398"/>
      <c r="C20" s="449"/>
      <c r="D20" s="450"/>
      <c r="E20" s="451"/>
      <c r="F20" s="451"/>
      <c r="G20" s="452"/>
      <c r="H20" s="451"/>
      <c r="I20" s="451"/>
      <c r="J20" s="451"/>
      <c r="K20" s="451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03"/>
      <c r="AK20" s="403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402"/>
      <c r="BC20" s="402"/>
      <c r="BD20" s="399"/>
      <c r="BE20" s="402"/>
      <c r="BF20" s="402"/>
      <c r="BG20" s="399"/>
      <c r="BH20" s="399"/>
      <c r="BI20" s="402"/>
      <c r="BJ20" s="402"/>
      <c r="BK20" s="402"/>
      <c r="BL20" s="402"/>
      <c r="BM20" s="455"/>
      <c r="BN20" s="402"/>
      <c r="BO20" s="402"/>
      <c r="BP20" s="402"/>
      <c r="BQ20" s="402"/>
      <c r="BR20" s="402"/>
      <c r="BS20" s="402"/>
      <c r="BT20" s="402"/>
      <c r="BU20" s="402"/>
      <c r="BV20" s="402"/>
      <c r="BW20" s="402"/>
      <c r="BX20" s="402"/>
      <c r="BY20" s="402"/>
      <c r="BZ20" s="402"/>
      <c r="CA20" s="402"/>
      <c r="CB20" s="402"/>
      <c r="CC20" s="402"/>
      <c r="CD20" s="402"/>
      <c r="CE20" s="402"/>
      <c r="CF20" s="402"/>
      <c r="CG20" s="402"/>
      <c r="CH20" s="402"/>
      <c r="CI20" s="463"/>
      <c r="CJ20" s="402"/>
      <c r="CK20" s="402"/>
      <c r="CL20" s="402"/>
      <c r="CM20" s="461"/>
      <c r="CN20" s="461"/>
      <c r="CO20" s="461"/>
      <c r="CP20" s="461"/>
      <c r="CQ20" s="402"/>
      <c r="CR20" s="402"/>
      <c r="CS20" s="402"/>
      <c r="CT20" s="402"/>
      <c r="CU20" s="402"/>
      <c r="CV20" s="402"/>
      <c r="CW20" s="402"/>
      <c r="CX20" s="402"/>
      <c r="CY20" s="402"/>
      <c r="CZ20" s="402"/>
      <c r="DA20" s="402"/>
      <c r="DB20" s="402"/>
      <c r="DC20" s="402"/>
      <c r="DD20" s="402"/>
      <c r="DE20" s="402"/>
      <c r="DF20" s="463"/>
      <c r="DG20" s="463"/>
      <c r="DH20" s="402"/>
      <c r="DI20" s="402"/>
      <c r="DJ20" s="402"/>
      <c r="DK20" s="402"/>
      <c r="DL20" s="402"/>
      <c r="DM20" s="402"/>
      <c r="DN20" s="402"/>
      <c r="DO20" s="402"/>
      <c r="DP20" s="402"/>
      <c r="DQ20" s="402"/>
      <c r="DR20" s="402"/>
      <c r="DS20" s="402"/>
      <c r="DT20" s="402"/>
      <c r="DU20" s="402"/>
      <c r="DV20" s="402"/>
      <c r="DW20" s="402"/>
      <c r="DX20" s="402"/>
      <c r="DY20" s="402"/>
      <c r="DZ20" s="402"/>
      <c r="EA20" s="402"/>
      <c r="EB20" s="402"/>
      <c r="EC20" s="402"/>
      <c r="ED20" s="402"/>
      <c r="EE20" s="402"/>
      <c r="EF20" s="402"/>
      <c r="EG20" s="402"/>
      <c r="EH20" s="402"/>
      <c r="EI20" s="402"/>
      <c r="EJ20" s="402"/>
      <c r="EK20" s="402"/>
      <c r="EL20" s="402"/>
      <c r="EM20" s="402"/>
      <c r="EN20" s="402"/>
      <c r="EO20" s="402"/>
      <c r="EP20" s="402"/>
      <c r="EQ20" s="402"/>
      <c r="ER20" s="402"/>
      <c r="ES20" s="402"/>
      <c r="ET20" s="402"/>
      <c r="EU20" s="402"/>
      <c r="EV20" s="402"/>
      <c r="EW20" s="402"/>
      <c r="EX20" s="402"/>
      <c r="EY20" s="402"/>
      <c r="EZ20" s="402"/>
      <c r="FA20" s="402"/>
      <c r="FB20" s="402"/>
      <c r="FC20" s="625"/>
      <c r="FD20" s="402"/>
      <c r="FE20" s="402"/>
      <c r="FF20" s="455"/>
      <c r="FG20" s="402"/>
      <c r="FH20" s="402"/>
      <c r="FI20" s="402"/>
      <c r="FJ20" s="402"/>
      <c r="FK20" s="402"/>
      <c r="FL20" s="403"/>
      <c r="FM20" s="403"/>
      <c r="FN20" s="940"/>
      <c r="FO20" s="402"/>
      <c r="FP20" s="402"/>
      <c r="FQ20" s="402"/>
      <c r="FR20" s="402"/>
      <c r="FS20" s="402"/>
      <c r="FT20" s="402"/>
      <c r="FU20" s="402"/>
      <c r="FV20" s="402"/>
      <c r="FW20" s="462"/>
    </row>
    <row r="21" spans="1:179" s="115" customFormat="1" ht="20.25" customHeight="1" x14ac:dyDescent="0.2">
      <c r="A21" s="2103"/>
      <c r="B21" s="418" t="s">
        <v>231</v>
      </c>
      <c r="C21" s="422"/>
      <c r="D21" s="423"/>
      <c r="E21" s="425"/>
      <c r="F21" s="425"/>
      <c r="G21" s="426"/>
      <c r="H21" s="425"/>
      <c r="I21" s="425"/>
      <c r="J21" s="425"/>
      <c r="K21" s="425"/>
      <c r="L21" s="432"/>
      <c r="M21" s="430"/>
      <c r="N21" s="430"/>
      <c r="O21" s="430"/>
      <c r="P21" s="430"/>
      <c r="Q21" s="430"/>
      <c r="R21" s="430"/>
      <c r="S21" s="430"/>
      <c r="T21" s="432"/>
      <c r="U21" s="430"/>
      <c r="V21" s="430"/>
      <c r="W21" s="432"/>
      <c r="X21" s="430"/>
      <c r="Y21" s="430"/>
      <c r="Z21" s="430"/>
      <c r="AA21" s="430"/>
      <c r="AB21" s="430"/>
      <c r="AC21" s="430"/>
      <c r="AD21" s="430"/>
      <c r="AE21" s="430"/>
      <c r="AF21" s="430"/>
      <c r="AG21" s="430"/>
      <c r="AH21" s="430"/>
      <c r="AI21" s="430"/>
      <c r="AJ21" s="404"/>
      <c r="AK21" s="404"/>
      <c r="AL21" s="405"/>
      <c r="AM21" s="405"/>
      <c r="AN21" s="405"/>
      <c r="AO21" s="405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402"/>
      <c r="BC21" s="402"/>
      <c r="BD21" s="399"/>
      <c r="BE21" s="402"/>
      <c r="BF21" s="402"/>
      <c r="BG21" s="399"/>
      <c r="BH21" s="399"/>
      <c r="BI21" s="402"/>
      <c r="BJ21" s="402"/>
      <c r="BK21" s="402"/>
      <c r="BL21" s="402"/>
      <c r="BM21" s="455"/>
      <c r="BN21" s="402"/>
      <c r="BO21" s="402"/>
      <c r="BP21" s="402"/>
      <c r="BQ21" s="402"/>
      <c r="BR21" s="402"/>
      <c r="BS21" s="402"/>
      <c r="BT21" s="402"/>
      <c r="BU21" s="402"/>
      <c r="BV21" s="402"/>
      <c r="BW21" s="402"/>
      <c r="BX21" s="402"/>
      <c r="BY21" s="402"/>
      <c r="BZ21" s="402"/>
      <c r="CA21" s="402"/>
      <c r="CB21" s="402"/>
      <c r="CC21" s="402"/>
      <c r="CD21" s="402"/>
      <c r="CE21" s="402"/>
      <c r="CF21" s="402"/>
      <c r="CG21" s="402"/>
      <c r="CH21" s="402"/>
      <c r="CI21" s="463"/>
      <c r="CJ21" s="402"/>
      <c r="CK21" s="402"/>
      <c r="CL21" s="402"/>
      <c r="CM21" s="461"/>
      <c r="CN21" s="461"/>
      <c r="CO21" s="461"/>
      <c r="CP21" s="461"/>
      <c r="CQ21" s="402"/>
      <c r="CR21" s="402"/>
      <c r="CS21" s="402"/>
      <c r="CT21" s="402"/>
      <c r="CU21" s="402"/>
      <c r="CV21" s="402"/>
      <c r="CW21" s="402"/>
      <c r="CX21" s="402"/>
      <c r="CY21" s="402"/>
      <c r="CZ21" s="402"/>
      <c r="DA21" s="402"/>
      <c r="DB21" s="402"/>
      <c r="DC21" s="402"/>
      <c r="DD21" s="402"/>
      <c r="DE21" s="402"/>
      <c r="DF21" s="463"/>
      <c r="DG21" s="463"/>
      <c r="DH21" s="402"/>
      <c r="DI21" s="402"/>
      <c r="DJ21" s="402"/>
      <c r="DK21" s="402"/>
      <c r="DL21" s="402"/>
      <c r="DM21" s="402"/>
      <c r="DN21" s="402"/>
      <c r="DO21" s="402"/>
      <c r="DP21" s="402"/>
      <c r="DQ21" s="402"/>
      <c r="DR21" s="402"/>
      <c r="DS21" s="402"/>
      <c r="DT21" s="402"/>
      <c r="DU21" s="402"/>
      <c r="DV21" s="402"/>
      <c r="DW21" s="402"/>
      <c r="DX21" s="402"/>
      <c r="DY21" s="402"/>
      <c r="DZ21" s="402"/>
      <c r="EA21" s="402"/>
      <c r="EB21" s="402"/>
      <c r="EC21" s="402"/>
      <c r="ED21" s="402"/>
      <c r="EE21" s="402"/>
      <c r="EF21" s="402"/>
      <c r="EG21" s="402"/>
      <c r="EH21" s="402"/>
      <c r="EI21" s="402"/>
      <c r="EJ21" s="402"/>
      <c r="EK21" s="402"/>
      <c r="EL21" s="402"/>
      <c r="EM21" s="402"/>
      <c r="EN21" s="402"/>
      <c r="EO21" s="402"/>
      <c r="EP21" s="402"/>
      <c r="EQ21" s="402"/>
      <c r="ER21" s="402"/>
      <c r="ES21" s="402"/>
      <c r="ET21" s="402"/>
      <c r="EU21" s="402"/>
      <c r="EV21" s="402"/>
      <c r="EW21" s="402"/>
      <c r="EX21" s="402"/>
      <c r="EY21" s="402"/>
      <c r="EZ21" s="402"/>
      <c r="FA21" s="402"/>
      <c r="FB21" s="402"/>
      <c r="FC21" s="625"/>
      <c r="FD21" s="402"/>
      <c r="FE21" s="402"/>
      <c r="FF21" s="455"/>
      <c r="FG21" s="402"/>
      <c r="FH21" s="402"/>
      <c r="FI21" s="402"/>
      <c r="FJ21" s="402"/>
      <c r="FK21" s="402"/>
      <c r="FL21" s="403"/>
      <c r="FM21" s="403"/>
      <c r="FN21" s="941"/>
      <c r="FO21" s="402"/>
      <c r="FP21" s="402"/>
      <c r="FQ21" s="402"/>
      <c r="FR21" s="402"/>
      <c r="FS21" s="402"/>
      <c r="FT21" s="402"/>
      <c r="FU21" s="402"/>
      <c r="FV21" s="402"/>
      <c r="FW21" s="464"/>
    </row>
    <row r="22" spans="1:179" s="454" customFormat="1" ht="33" customHeight="1" x14ac:dyDescent="0.2">
      <c r="A22" s="2038"/>
      <c r="B22" s="420" t="s">
        <v>363</v>
      </c>
      <c r="C22" s="1764">
        <f>план!C25</f>
        <v>10040.634</v>
      </c>
      <c r="D22" s="1247">
        <f>план!D25</f>
        <v>8367.1949999999997</v>
      </c>
      <c r="E22" s="425"/>
      <c r="F22" s="425"/>
      <c r="G22" s="426"/>
      <c r="H22" s="425"/>
      <c r="I22" s="425"/>
      <c r="J22" s="425"/>
      <c r="K22" s="425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03"/>
      <c r="AK22" s="403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402"/>
      <c r="BC22" s="402"/>
      <c r="BD22" s="399"/>
      <c r="BE22" s="402"/>
      <c r="BF22" s="402"/>
      <c r="BG22" s="399"/>
      <c r="BH22" s="399"/>
      <c r="BI22" s="402"/>
      <c r="BJ22" s="402"/>
      <c r="BK22" s="402"/>
      <c r="BL22" s="402"/>
      <c r="BM22" s="455"/>
      <c r="BN22" s="1181">
        <f>план!EY26</f>
        <v>8274</v>
      </c>
      <c r="BO22" s="402"/>
      <c r="BP22" s="402"/>
      <c r="BQ22" s="402"/>
      <c r="BR22" s="402"/>
      <c r="BS22" s="402"/>
      <c r="BT22" s="402"/>
      <c r="BU22" s="402"/>
      <c r="BV22" s="402"/>
      <c r="BW22" s="402"/>
      <c r="BX22" s="402"/>
      <c r="BY22" s="402"/>
      <c r="BZ22" s="402"/>
      <c r="CA22" s="402"/>
      <c r="CB22" s="402"/>
      <c r="CC22" s="402"/>
      <c r="CD22" s="402"/>
      <c r="CE22" s="402"/>
      <c r="CF22" s="402"/>
      <c r="CG22" s="402"/>
      <c r="CH22" s="402"/>
      <c r="CI22" s="463"/>
      <c r="CJ22" s="402"/>
      <c r="CK22" s="402"/>
      <c r="CL22" s="402"/>
      <c r="CM22" s="461"/>
      <c r="CN22" s="461"/>
      <c r="CO22" s="461"/>
      <c r="CP22" s="461"/>
      <c r="CQ22" s="402"/>
      <c r="CR22" s="402"/>
      <c r="CS22" s="402"/>
      <c r="CT22" s="402"/>
      <c r="CU22" s="402"/>
      <c r="CV22" s="402"/>
      <c r="CW22" s="402"/>
      <c r="CX22" s="402"/>
      <c r="CY22" s="402"/>
      <c r="CZ22" s="402"/>
      <c r="DA22" s="402"/>
      <c r="DB22" s="402"/>
      <c r="DC22" s="402"/>
      <c r="DD22" s="402"/>
      <c r="DE22" s="402"/>
      <c r="DF22" s="463"/>
      <c r="DG22" s="463"/>
      <c r="DH22" s="402"/>
      <c r="DI22" s="402"/>
      <c r="DJ22" s="402"/>
      <c r="DK22" s="402"/>
      <c r="DL22" s="402"/>
      <c r="DM22" s="402"/>
      <c r="DN22" s="402"/>
      <c r="DO22" s="402"/>
      <c r="DP22" s="402"/>
      <c r="DQ22" s="402"/>
      <c r="DR22" s="402"/>
      <c r="DS22" s="402"/>
      <c r="DT22" s="402"/>
      <c r="DU22" s="402"/>
      <c r="DV22" s="402"/>
      <c r="DW22" s="402"/>
      <c r="DX22" s="402"/>
      <c r="DY22" s="402"/>
      <c r="DZ22" s="402"/>
      <c r="EA22" s="402"/>
      <c r="EB22" s="402"/>
      <c r="EC22" s="402"/>
      <c r="ED22" s="402"/>
      <c r="EE22" s="402"/>
      <c r="EF22" s="402"/>
      <c r="EG22" s="402"/>
      <c r="EH22" s="402"/>
      <c r="EI22" s="1181"/>
      <c r="EJ22" s="402"/>
      <c r="EK22" s="402"/>
      <c r="EL22" s="402"/>
      <c r="EM22" s="402"/>
      <c r="EN22" s="402"/>
      <c r="EO22" s="402"/>
      <c r="EP22" s="402"/>
      <c r="EQ22" s="402"/>
      <c r="ER22" s="402"/>
      <c r="ES22" s="402"/>
      <c r="ET22" s="402"/>
      <c r="EU22" s="402"/>
      <c r="EV22" s="402"/>
      <c r="EW22" s="402"/>
      <c r="EX22" s="402"/>
      <c r="EY22" s="402"/>
      <c r="EZ22" s="402"/>
      <c r="FA22" s="402"/>
      <c r="FB22" s="402"/>
      <c r="FC22" s="625"/>
      <c r="FD22" s="402"/>
      <c r="FE22" s="402"/>
      <c r="FF22" s="455"/>
      <c r="FG22" s="402"/>
      <c r="FH22" s="402"/>
      <c r="FI22" s="402"/>
      <c r="FJ22" s="402"/>
      <c r="FK22" s="402"/>
      <c r="FL22" s="403"/>
      <c r="FM22" s="403"/>
      <c r="FN22" s="940"/>
      <c r="FO22" s="402"/>
      <c r="FP22" s="402"/>
      <c r="FQ22" s="402"/>
      <c r="FR22" s="402"/>
      <c r="FS22" s="402"/>
      <c r="FT22" s="402"/>
      <c r="FU22" s="402"/>
      <c r="FV22" s="402"/>
      <c r="FW22" s="462"/>
    </row>
    <row r="23" spans="1:179" s="454" customFormat="1" ht="20.25" customHeight="1" x14ac:dyDescent="0.2">
      <c r="A23" s="2038"/>
      <c r="B23" s="398"/>
      <c r="C23" s="449"/>
      <c r="D23" s="450"/>
      <c r="E23" s="425"/>
      <c r="F23" s="425"/>
      <c r="G23" s="426"/>
      <c r="H23" s="425"/>
      <c r="I23" s="425"/>
      <c r="J23" s="425"/>
      <c r="K23" s="425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2"/>
      <c r="AI23" s="432"/>
      <c r="AJ23" s="403"/>
      <c r="AK23" s="403"/>
      <c r="AL23" s="399"/>
      <c r="AM23" s="399"/>
      <c r="AN23" s="399"/>
      <c r="AO23" s="399"/>
      <c r="AP23" s="399"/>
      <c r="AQ23" s="399"/>
      <c r="AR23" s="399"/>
      <c r="AS23" s="399"/>
      <c r="AT23" s="399"/>
      <c r="AU23" s="399"/>
      <c r="AV23" s="399"/>
      <c r="AW23" s="399"/>
      <c r="AX23" s="399"/>
      <c r="AY23" s="399"/>
      <c r="AZ23" s="399"/>
      <c r="BA23" s="399"/>
      <c r="BB23" s="402"/>
      <c r="BC23" s="402"/>
      <c r="BD23" s="399"/>
      <c r="BE23" s="402"/>
      <c r="BF23" s="402"/>
      <c r="BG23" s="399"/>
      <c r="BH23" s="399"/>
      <c r="BI23" s="402"/>
      <c r="BJ23" s="402"/>
      <c r="BK23" s="402"/>
      <c r="BL23" s="402"/>
      <c r="BM23" s="455"/>
      <c r="BN23" s="402"/>
      <c r="BO23" s="402"/>
      <c r="BP23" s="402"/>
      <c r="BQ23" s="402"/>
      <c r="BR23" s="402"/>
      <c r="BS23" s="402"/>
      <c r="BT23" s="402"/>
      <c r="BU23" s="402"/>
      <c r="BV23" s="402"/>
      <c r="BW23" s="402"/>
      <c r="BX23" s="402"/>
      <c r="BY23" s="402"/>
      <c r="BZ23" s="402"/>
      <c r="CA23" s="402"/>
      <c r="CB23" s="402"/>
      <c r="CC23" s="402"/>
      <c r="CD23" s="402"/>
      <c r="CE23" s="402"/>
      <c r="CF23" s="402"/>
      <c r="CG23" s="402"/>
      <c r="CH23" s="402"/>
      <c r="CI23" s="463"/>
      <c r="CJ23" s="402"/>
      <c r="CK23" s="402"/>
      <c r="CL23" s="402"/>
      <c r="CM23" s="461"/>
      <c r="CN23" s="461"/>
      <c r="CO23" s="461"/>
      <c r="CP23" s="461"/>
      <c r="CQ23" s="402"/>
      <c r="CR23" s="402"/>
      <c r="CS23" s="402"/>
      <c r="CT23" s="402"/>
      <c r="CU23" s="402"/>
      <c r="CV23" s="402"/>
      <c r="CW23" s="402"/>
      <c r="CX23" s="402"/>
      <c r="CY23" s="402"/>
      <c r="CZ23" s="402"/>
      <c r="DA23" s="402"/>
      <c r="DB23" s="402"/>
      <c r="DC23" s="402"/>
      <c r="DD23" s="402"/>
      <c r="DE23" s="402"/>
      <c r="DF23" s="463"/>
      <c r="DG23" s="463"/>
      <c r="DH23" s="402"/>
      <c r="DI23" s="402"/>
      <c r="DJ23" s="402"/>
      <c r="DK23" s="402"/>
      <c r="DL23" s="402"/>
      <c r="DM23" s="402"/>
      <c r="DN23" s="402"/>
      <c r="DO23" s="402"/>
      <c r="DP23" s="402"/>
      <c r="DQ23" s="402"/>
      <c r="DR23" s="402"/>
      <c r="DS23" s="402"/>
      <c r="DT23" s="402"/>
      <c r="DU23" s="402"/>
      <c r="DV23" s="402"/>
      <c r="DW23" s="402"/>
      <c r="DX23" s="402"/>
      <c r="DY23" s="402"/>
      <c r="DZ23" s="402"/>
      <c r="EA23" s="402"/>
      <c r="EB23" s="402"/>
      <c r="EC23" s="402"/>
      <c r="ED23" s="402"/>
      <c r="EE23" s="402"/>
      <c r="EF23" s="402"/>
      <c r="EG23" s="402"/>
      <c r="EH23" s="402"/>
      <c r="EI23" s="402"/>
      <c r="EJ23" s="402"/>
      <c r="EK23" s="402"/>
      <c r="EL23" s="402"/>
      <c r="EM23" s="402"/>
      <c r="EN23" s="402"/>
      <c r="EO23" s="402"/>
      <c r="EP23" s="402"/>
      <c r="EQ23" s="402"/>
      <c r="ER23" s="402"/>
      <c r="ES23" s="402"/>
      <c r="ET23" s="402"/>
      <c r="EU23" s="402"/>
      <c r="EV23" s="402"/>
      <c r="EW23" s="402"/>
      <c r="EX23" s="402"/>
      <c r="EY23" s="402"/>
      <c r="EZ23" s="402"/>
      <c r="FA23" s="402"/>
      <c r="FB23" s="402"/>
      <c r="FC23" s="625"/>
      <c r="FD23" s="402"/>
      <c r="FE23" s="402"/>
      <c r="FF23" s="455"/>
      <c r="FG23" s="402"/>
      <c r="FH23" s="402"/>
      <c r="FI23" s="402"/>
      <c r="FJ23" s="402"/>
      <c r="FK23" s="402"/>
      <c r="FL23" s="403"/>
      <c r="FM23" s="403"/>
      <c r="FN23" s="940"/>
      <c r="FO23" s="402"/>
      <c r="FP23" s="402"/>
      <c r="FQ23" s="402"/>
      <c r="FR23" s="402"/>
      <c r="FS23" s="402"/>
      <c r="FT23" s="402"/>
      <c r="FU23" s="402"/>
      <c r="FV23" s="402"/>
      <c r="FW23" s="462"/>
    </row>
    <row r="24" spans="1:179" s="454" customFormat="1" ht="20.25" customHeight="1" x14ac:dyDescent="0.2">
      <c r="A24" s="2038"/>
      <c r="B24" s="418" t="s">
        <v>233</v>
      </c>
      <c r="C24" s="453"/>
      <c r="D24" s="450"/>
      <c r="E24" s="425"/>
      <c r="F24" s="425"/>
      <c r="G24" s="426"/>
      <c r="H24" s="425"/>
      <c r="I24" s="425"/>
      <c r="J24" s="425"/>
      <c r="K24" s="425"/>
      <c r="L24" s="432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2"/>
      <c r="AJ24" s="467"/>
      <c r="AK24" s="467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402"/>
      <c r="BC24" s="402"/>
      <c r="BD24" s="399"/>
      <c r="BE24" s="402"/>
      <c r="BF24" s="402"/>
      <c r="BG24" s="399"/>
      <c r="BH24" s="399"/>
      <c r="BI24" s="402"/>
      <c r="BJ24" s="402"/>
      <c r="BK24" s="402"/>
      <c r="BL24" s="402"/>
      <c r="BM24" s="455"/>
      <c r="BN24" s="402"/>
      <c r="BO24" s="402"/>
      <c r="BP24" s="402"/>
      <c r="BQ24" s="402"/>
      <c r="BR24" s="402"/>
      <c r="BS24" s="402"/>
      <c r="BT24" s="402"/>
      <c r="BU24" s="402"/>
      <c r="BV24" s="402"/>
      <c r="BW24" s="402"/>
      <c r="BX24" s="402"/>
      <c r="BY24" s="402"/>
      <c r="BZ24" s="402"/>
      <c r="CA24" s="402"/>
      <c r="CB24" s="402"/>
      <c r="CC24" s="402"/>
      <c r="CD24" s="402"/>
      <c r="CE24" s="402"/>
      <c r="CF24" s="402"/>
      <c r="CG24" s="402"/>
      <c r="CH24" s="402"/>
      <c r="CI24" s="463"/>
      <c r="CJ24" s="402"/>
      <c r="CK24" s="402"/>
      <c r="CL24" s="402"/>
      <c r="CM24" s="461"/>
      <c r="CN24" s="461"/>
      <c r="CO24" s="461"/>
      <c r="CP24" s="461"/>
      <c r="CQ24" s="402"/>
      <c r="CR24" s="402"/>
      <c r="CS24" s="402"/>
      <c r="CT24" s="402"/>
      <c r="CU24" s="402"/>
      <c r="CV24" s="402"/>
      <c r="CW24" s="402"/>
      <c r="CX24" s="402"/>
      <c r="CY24" s="402"/>
      <c r="CZ24" s="402"/>
      <c r="DA24" s="402"/>
      <c r="DB24" s="402"/>
      <c r="DC24" s="402"/>
      <c r="DD24" s="402"/>
      <c r="DE24" s="402"/>
      <c r="DF24" s="463"/>
      <c r="DG24" s="463"/>
      <c r="DH24" s="402"/>
      <c r="DI24" s="402"/>
      <c r="DJ24" s="402"/>
      <c r="DK24" s="402"/>
      <c r="DL24" s="402"/>
      <c r="DM24" s="402"/>
      <c r="DN24" s="402"/>
      <c r="DO24" s="402"/>
      <c r="DP24" s="402"/>
      <c r="DQ24" s="402"/>
      <c r="DR24" s="402"/>
      <c r="DS24" s="402"/>
      <c r="DT24" s="402"/>
      <c r="DU24" s="402"/>
      <c r="DV24" s="402"/>
      <c r="DW24" s="402"/>
      <c r="DX24" s="402"/>
      <c r="DY24" s="402"/>
      <c r="DZ24" s="402"/>
      <c r="EA24" s="402"/>
      <c r="EB24" s="402"/>
      <c r="EC24" s="402"/>
      <c r="ED24" s="402"/>
      <c r="EE24" s="402"/>
      <c r="EF24" s="402"/>
      <c r="EG24" s="402"/>
      <c r="EH24" s="402"/>
      <c r="EI24" s="402"/>
      <c r="EJ24" s="402"/>
      <c r="EK24" s="402"/>
      <c r="EL24" s="402"/>
      <c r="EM24" s="402"/>
      <c r="EN24" s="402"/>
      <c r="EO24" s="402"/>
      <c r="EP24" s="402"/>
      <c r="EQ24" s="402"/>
      <c r="ER24" s="402"/>
      <c r="ES24" s="402"/>
      <c r="ET24" s="402"/>
      <c r="EU24" s="402"/>
      <c r="EV24" s="402"/>
      <c r="EW24" s="402"/>
      <c r="EX24" s="402"/>
      <c r="EY24" s="402"/>
      <c r="EZ24" s="402"/>
      <c r="FA24" s="402"/>
      <c r="FB24" s="402"/>
      <c r="FC24" s="625"/>
      <c r="FD24" s="402"/>
      <c r="FE24" s="402"/>
      <c r="FF24" s="455"/>
      <c r="FG24" s="402"/>
      <c r="FH24" s="402"/>
      <c r="FI24" s="402"/>
      <c r="FJ24" s="402"/>
      <c r="FK24" s="402"/>
      <c r="FL24" s="403"/>
      <c r="FM24" s="403"/>
      <c r="FN24" s="940"/>
      <c r="FO24" s="402"/>
      <c r="FP24" s="402"/>
      <c r="FQ24" s="402"/>
      <c r="FR24" s="402"/>
      <c r="FS24" s="402"/>
      <c r="FT24" s="402"/>
      <c r="FU24" s="402"/>
      <c r="FV24" s="402"/>
      <c r="FW24" s="462"/>
    </row>
    <row r="25" spans="1:179" s="454" customFormat="1" ht="20.25" customHeight="1" x14ac:dyDescent="0.2">
      <c r="A25" s="2038"/>
      <c r="B25" s="689" t="s">
        <v>365</v>
      </c>
      <c r="C25" s="1765">
        <f>план!C29</f>
        <v>101091.7179143359</v>
      </c>
      <c r="D25" s="1247">
        <f>план!D29</f>
        <v>84243.098261946579</v>
      </c>
      <c r="E25" s="425"/>
      <c r="F25" s="425"/>
      <c r="G25" s="426"/>
      <c r="H25" s="425"/>
      <c r="I25" s="425"/>
      <c r="J25" s="425"/>
      <c r="K25" s="425"/>
      <c r="L25" s="432"/>
      <c r="M25" s="425"/>
      <c r="N25" s="425"/>
      <c r="O25" s="425"/>
      <c r="P25" s="425"/>
      <c r="Q25" s="425"/>
      <c r="R25" s="425"/>
      <c r="S25" s="425"/>
      <c r="T25" s="425"/>
      <c r="U25" s="432"/>
      <c r="V25" s="465"/>
      <c r="W25" s="432"/>
      <c r="X25" s="432"/>
      <c r="Y25" s="432">
        <f>план!BJ29</f>
        <v>139.33539999999988</v>
      </c>
      <c r="Z25" s="432">
        <f>план!BK29</f>
        <v>204.51279999999983</v>
      </c>
      <c r="AA25" s="432"/>
      <c r="AB25" s="432"/>
      <c r="AC25" s="432">
        <f>план!BR29</f>
        <v>128.35655999999983</v>
      </c>
      <c r="AD25" s="432"/>
      <c r="AE25" s="432">
        <f>план!BT29</f>
        <v>475.67404000000096</v>
      </c>
      <c r="AF25" s="1102"/>
      <c r="AG25" s="432"/>
      <c r="AH25" s="432"/>
      <c r="AI25" s="432"/>
      <c r="AJ25" s="403"/>
      <c r="AK25" s="467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402"/>
      <c r="BC25" s="402"/>
      <c r="BD25" s="399">
        <f>план!DT29</f>
        <v>0</v>
      </c>
      <c r="BE25" s="402"/>
      <c r="BF25" s="402"/>
      <c r="BG25" s="399"/>
      <c r="BH25" s="399"/>
      <c r="BI25" s="402"/>
      <c r="BJ25" s="402"/>
      <c r="BK25" s="402"/>
      <c r="BL25" s="402"/>
      <c r="BM25" s="455"/>
      <c r="BN25" s="402"/>
      <c r="BO25" s="402"/>
      <c r="BP25" s="402"/>
      <c r="BQ25" s="402"/>
      <c r="BR25" s="402"/>
      <c r="BS25" s="402"/>
      <c r="BT25" s="402"/>
      <c r="BU25" s="402"/>
      <c r="BV25" s="402"/>
      <c r="BW25" s="402"/>
      <c r="BX25" s="402"/>
      <c r="BY25" s="402"/>
      <c r="BZ25" s="402"/>
      <c r="CA25" s="402"/>
      <c r="CB25" s="402"/>
      <c r="CC25" s="402"/>
      <c r="CD25" s="402"/>
      <c r="CE25" s="402"/>
      <c r="CF25" s="402"/>
      <c r="CG25" s="402"/>
      <c r="CH25" s="402"/>
      <c r="CI25" s="463"/>
      <c r="CJ25" s="402"/>
      <c r="CK25" s="402"/>
      <c r="CL25" s="402"/>
      <c r="CM25" s="461"/>
      <c r="CN25" s="461"/>
      <c r="CO25" s="461"/>
      <c r="CP25" s="461"/>
      <c r="CQ25" s="402"/>
      <c r="CR25" s="402"/>
      <c r="CS25" s="402"/>
      <c r="CT25" s="402"/>
      <c r="CU25" s="402"/>
      <c r="CV25" s="402"/>
      <c r="CW25" s="402"/>
      <c r="CX25" s="402"/>
      <c r="CY25" s="402"/>
      <c r="CZ25" s="402"/>
      <c r="DA25" s="402"/>
      <c r="DB25" s="402"/>
      <c r="DC25" s="402"/>
      <c r="DD25" s="402"/>
      <c r="DE25" s="402"/>
      <c r="DF25" s="463"/>
      <c r="DG25" s="463"/>
      <c r="DH25" s="402"/>
      <c r="DI25" s="402"/>
      <c r="DJ25" s="402"/>
      <c r="DK25" s="402"/>
      <c r="DL25" s="402"/>
      <c r="DM25" s="402"/>
      <c r="DN25" s="402"/>
      <c r="DO25" s="402"/>
      <c r="DP25" s="402"/>
      <c r="DQ25" s="402"/>
      <c r="DR25" s="402"/>
      <c r="DS25" s="402"/>
      <c r="DT25" s="402"/>
      <c r="DU25" s="402"/>
      <c r="DV25" s="402"/>
      <c r="DW25" s="402"/>
      <c r="DX25" s="402"/>
      <c r="DY25" s="402"/>
      <c r="DZ25" s="402"/>
      <c r="EA25" s="402"/>
      <c r="EB25" s="402"/>
      <c r="EC25" s="402"/>
      <c r="ED25" s="402"/>
      <c r="EE25" s="402"/>
      <c r="EF25" s="402"/>
      <c r="EG25" s="402"/>
      <c r="EH25" s="402"/>
      <c r="EI25" s="455"/>
      <c r="EJ25" s="402"/>
      <c r="EK25" s="402"/>
      <c r="EL25" s="402"/>
      <c r="EM25" s="402"/>
      <c r="EN25" s="402"/>
      <c r="EO25" s="402"/>
      <c r="EP25" s="402"/>
      <c r="EQ25" s="402"/>
      <c r="ER25" s="402"/>
      <c r="ES25" s="402"/>
      <c r="ET25" s="402"/>
      <c r="EU25" s="402"/>
      <c r="EV25" s="402"/>
      <c r="EW25" s="402"/>
      <c r="EX25" s="402"/>
      <c r="EY25" s="402"/>
      <c r="EZ25" s="402"/>
      <c r="FA25" s="402"/>
      <c r="FB25" s="402"/>
      <c r="FC25" s="625"/>
      <c r="FD25" s="402"/>
      <c r="FE25" s="402"/>
      <c r="FF25" s="455"/>
      <c r="FG25" s="402"/>
      <c r="FH25" s="402"/>
      <c r="FI25" s="402"/>
      <c r="FJ25" s="402"/>
      <c r="FK25" s="402"/>
      <c r="FL25" s="403"/>
      <c r="FM25" s="403"/>
      <c r="FN25" s="940"/>
      <c r="FO25" s="402"/>
      <c r="FP25" s="402"/>
      <c r="FQ25" s="402"/>
      <c r="FR25" s="402"/>
      <c r="FS25" s="402"/>
      <c r="FT25" s="402"/>
      <c r="FU25" s="402"/>
      <c r="FV25" s="402"/>
      <c r="FW25" s="462"/>
    </row>
    <row r="26" spans="1:179" s="1278" customFormat="1" ht="31.5" x14ac:dyDescent="0.2">
      <c r="A26" s="2038"/>
      <c r="B26" s="1758" t="s">
        <v>848</v>
      </c>
      <c r="C26" s="1759">
        <f>план!C30</f>
        <v>48360.12233070103</v>
      </c>
      <c r="D26" s="1270">
        <f>план!D30</f>
        <v>40300.101942250862</v>
      </c>
      <c r="E26" s="1760"/>
      <c r="F26" s="1760"/>
      <c r="G26" s="1761"/>
      <c r="H26" s="1760"/>
      <c r="I26" s="1760"/>
      <c r="J26" s="1760"/>
      <c r="K26" s="1760"/>
      <c r="L26" s="1284">
        <f>план!AD30</f>
        <v>158.5386</v>
      </c>
      <c r="M26" s="1760">
        <f>план!AE30</f>
        <v>11.097702000000002</v>
      </c>
      <c r="N26" s="1760"/>
      <c r="O26" s="1760"/>
      <c r="P26" s="1760"/>
      <c r="Q26" s="1760"/>
      <c r="R26" s="1760"/>
      <c r="S26" s="1760"/>
      <c r="T26" s="1760">
        <f>план!AM30</f>
        <v>96.366600000000005</v>
      </c>
      <c r="U26" s="1284"/>
      <c r="V26" s="1762"/>
      <c r="W26" s="1284"/>
      <c r="X26" s="1284"/>
      <c r="Y26" s="1284"/>
      <c r="Z26" s="1284"/>
      <c r="AA26" s="1284"/>
      <c r="AB26" s="1284"/>
      <c r="AC26" s="1284"/>
      <c r="AD26" s="1284"/>
      <c r="AE26" s="1284"/>
      <c r="AF26" s="1284"/>
      <c r="AG26" s="1284"/>
      <c r="AH26" s="1284"/>
      <c r="AI26" s="1284"/>
      <c r="AJ26" s="1275"/>
      <c r="AK26" s="1763"/>
      <c r="AL26" s="1256"/>
      <c r="AM26" s="1256"/>
      <c r="AN26" s="1256"/>
      <c r="AO26" s="1256"/>
      <c r="AP26" s="1256"/>
      <c r="AQ26" s="1256"/>
      <c r="AR26" s="1256"/>
      <c r="AS26" s="1256"/>
      <c r="AT26" s="1256"/>
      <c r="AU26" s="1256"/>
      <c r="AV26" s="1256"/>
      <c r="AW26" s="1256"/>
      <c r="AX26" s="1256"/>
      <c r="AY26" s="1256"/>
      <c r="AZ26" s="1256"/>
      <c r="BA26" s="1256"/>
      <c r="BB26" s="1260"/>
      <c r="BC26" s="1260"/>
      <c r="BD26" s="1256"/>
      <c r="BE26" s="1260"/>
      <c r="BF26" s="1260"/>
      <c r="BG26" s="1256"/>
      <c r="BH26" s="1256"/>
      <c r="BI26" s="1260"/>
      <c r="BJ26" s="1260"/>
      <c r="BK26" s="1260"/>
      <c r="BL26" s="1260"/>
      <c r="BM26" s="1272"/>
      <c r="BN26" s="1260"/>
      <c r="BO26" s="1260"/>
      <c r="BP26" s="1260"/>
      <c r="BQ26" s="1260"/>
      <c r="BR26" s="1260"/>
      <c r="BS26" s="1260"/>
      <c r="BT26" s="1260"/>
      <c r="BU26" s="1260"/>
      <c r="BV26" s="1260"/>
      <c r="BW26" s="1260"/>
      <c r="BX26" s="1260"/>
      <c r="BY26" s="1260"/>
      <c r="BZ26" s="1260"/>
      <c r="CA26" s="1260"/>
      <c r="CB26" s="1260"/>
      <c r="CC26" s="1260"/>
      <c r="CD26" s="1260"/>
      <c r="CE26" s="1260"/>
      <c r="CF26" s="1260"/>
      <c r="CG26" s="1260"/>
      <c r="CH26" s="1260"/>
      <c r="CI26" s="1273"/>
      <c r="CJ26" s="1260"/>
      <c r="CK26" s="1260"/>
      <c r="CL26" s="1260"/>
      <c r="CM26" s="1274"/>
      <c r="CN26" s="1274"/>
      <c r="CO26" s="1274"/>
      <c r="CP26" s="1274"/>
      <c r="CQ26" s="1260"/>
      <c r="CR26" s="1260"/>
      <c r="CS26" s="1260"/>
      <c r="CT26" s="1260"/>
      <c r="CU26" s="1260"/>
      <c r="CV26" s="1260"/>
      <c r="CW26" s="1260"/>
      <c r="CX26" s="1260"/>
      <c r="CY26" s="1260"/>
      <c r="CZ26" s="1260"/>
      <c r="DA26" s="1260"/>
      <c r="DB26" s="1260"/>
      <c r="DC26" s="1260"/>
      <c r="DD26" s="1260"/>
      <c r="DE26" s="1260"/>
      <c r="DF26" s="1273"/>
      <c r="DG26" s="1273"/>
      <c r="DH26" s="1260"/>
      <c r="DI26" s="1260"/>
      <c r="DJ26" s="1260"/>
      <c r="DK26" s="1260"/>
      <c r="DL26" s="1260"/>
      <c r="DM26" s="1260"/>
      <c r="DN26" s="1260"/>
      <c r="DO26" s="1260"/>
      <c r="DP26" s="1260"/>
      <c r="DQ26" s="1260"/>
      <c r="DR26" s="1260"/>
      <c r="DS26" s="1260"/>
      <c r="DT26" s="1260"/>
      <c r="DU26" s="1260"/>
      <c r="DV26" s="1260"/>
      <c r="DW26" s="1260"/>
      <c r="DX26" s="1260"/>
      <c r="DY26" s="1260"/>
      <c r="DZ26" s="1260"/>
      <c r="EA26" s="1260"/>
      <c r="EB26" s="1260"/>
      <c r="EC26" s="1260"/>
      <c r="ED26" s="1260"/>
      <c r="EE26" s="1260"/>
      <c r="EF26" s="1260"/>
      <c r="EG26" s="1260"/>
      <c r="EH26" s="1260"/>
      <c r="EI26" s="1272"/>
      <c r="EJ26" s="1260"/>
      <c r="EK26" s="1260"/>
      <c r="EL26" s="1260"/>
      <c r="EM26" s="1260"/>
      <c r="EN26" s="1260"/>
      <c r="EO26" s="1260"/>
      <c r="EP26" s="1260"/>
      <c r="EQ26" s="1260"/>
      <c r="ER26" s="1260"/>
      <c r="ES26" s="1260"/>
      <c r="ET26" s="1260"/>
      <c r="EU26" s="1260"/>
      <c r="EV26" s="1260"/>
      <c r="EW26" s="1260"/>
      <c r="EX26" s="1260"/>
      <c r="EY26" s="1260"/>
      <c r="EZ26" s="1260"/>
      <c r="FA26" s="1260"/>
      <c r="FB26" s="1260"/>
      <c r="FC26" s="1252"/>
      <c r="FD26" s="1260"/>
      <c r="FE26" s="1260"/>
      <c r="FF26" s="1272"/>
      <c r="FG26" s="1260"/>
      <c r="FH26" s="1260"/>
      <c r="FI26" s="1260"/>
      <c r="FJ26" s="1260"/>
      <c r="FK26" s="1260"/>
      <c r="FL26" s="1275"/>
      <c r="FM26" s="1275"/>
      <c r="FN26" s="1276"/>
      <c r="FO26" s="1260"/>
      <c r="FP26" s="1260"/>
      <c r="FQ26" s="1260"/>
      <c r="FR26" s="1260"/>
      <c r="FS26" s="1260"/>
      <c r="FT26" s="1260"/>
      <c r="FU26" s="1260"/>
      <c r="FV26" s="1260"/>
      <c r="FW26" s="1277"/>
    </row>
    <row r="27" spans="1:179" s="454" customFormat="1" ht="20.25" customHeight="1" x14ac:dyDescent="0.2">
      <c r="A27" s="2038"/>
      <c r="B27" s="689" t="s">
        <v>602</v>
      </c>
      <c r="C27" s="1765">
        <f>план!C31</f>
        <v>1402315.0896151287</v>
      </c>
      <c r="D27" s="1247">
        <f>план!D31</f>
        <v>1168595.9080126074</v>
      </c>
      <c r="E27" s="425"/>
      <c r="F27" s="425"/>
      <c r="G27" s="426"/>
      <c r="H27" s="425"/>
      <c r="I27" s="425"/>
      <c r="J27" s="425"/>
      <c r="K27" s="425"/>
      <c r="L27" s="432">
        <f>план!AB31</f>
        <v>4692.1159900000002</v>
      </c>
      <c r="M27" s="1979">
        <f>план!AE31</f>
        <v>231.47499999999999</v>
      </c>
      <c r="N27" s="425"/>
      <c r="O27" s="425"/>
      <c r="P27" s="425"/>
      <c r="Q27" s="425">
        <f>план!AJ31</f>
        <v>798.6580408510639</v>
      </c>
      <c r="R27" s="425">
        <f>план!AK31</f>
        <v>968.80380512949637</v>
      </c>
      <c r="S27" s="425"/>
      <c r="T27" s="425">
        <f>план!AM31</f>
        <v>1321.766007640523</v>
      </c>
      <c r="U27" s="432"/>
      <c r="V27" s="465"/>
      <c r="W27" s="432">
        <f>план!AS31</f>
        <v>4.8160400000000001</v>
      </c>
      <c r="X27" s="432"/>
      <c r="Y27" s="1102">
        <f>план!AY31</f>
        <v>522.91699999999992</v>
      </c>
      <c r="Z27" s="432">
        <f>план!BH31</f>
        <v>251.28299999999999</v>
      </c>
      <c r="AA27" s="432"/>
      <c r="AB27" s="432"/>
      <c r="AC27" s="432"/>
      <c r="AD27" s="432"/>
      <c r="AE27" s="432"/>
      <c r="AF27" s="1102">
        <f>план!AV31</f>
        <v>318.94499999999999</v>
      </c>
      <c r="AG27" s="432"/>
      <c r="AH27" s="432"/>
      <c r="AI27" s="432"/>
      <c r="AJ27" s="1980">
        <f>план!AZ31</f>
        <v>2064.7420000000002</v>
      </c>
      <c r="AK27" s="467"/>
      <c r="AL27" s="399"/>
      <c r="AM27" s="399"/>
      <c r="AN27" s="399"/>
      <c r="AO27" s="399">
        <f>план!CI31</f>
        <v>753</v>
      </c>
      <c r="AP27" s="399">
        <f>план!CK31</f>
        <v>0</v>
      </c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402"/>
      <c r="BC27" s="402"/>
      <c r="BD27" s="399">
        <f>план!DT31</f>
        <v>73.73</v>
      </c>
      <c r="BE27" s="402"/>
      <c r="BF27" s="402"/>
      <c r="BG27" s="399"/>
      <c r="BH27" s="399"/>
      <c r="BI27" s="402"/>
      <c r="BJ27" s="402"/>
      <c r="BK27" s="402"/>
      <c r="BL27" s="402"/>
      <c r="BM27" s="455"/>
      <c r="BN27" s="402"/>
      <c r="BO27" s="402"/>
      <c r="BP27" s="402"/>
      <c r="BQ27" s="402"/>
      <c r="BR27" s="402"/>
      <c r="BS27" s="402"/>
      <c r="BT27" s="402"/>
      <c r="BU27" s="402"/>
      <c r="BV27" s="402"/>
      <c r="BW27" s="402"/>
      <c r="BX27" s="402"/>
      <c r="BY27" s="402"/>
      <c r="BZ27" s="402"/>
      <c r="CA27" s="402"/>
      <c r="CB27" s="402"/>
      <c r="CC27" s="402"/>
      <c r="CD27" s="402"/>
      <c r="CE27" s="402"/>
      <c r="CF27" s="402"/>
      <c r="CG27" s="402"/>
      <c r="CH27" s="402"/>
      <c r="CI27" s="463"/>
      <c r="CJ27" s="402"/>
      <c r="CK27" s="402"/>
      <c r="CL27" s="402"/>
      <c r="CM27" s="461"/>
      <c r="CN27" s="461"/>
      <c r="CO27" s="461"/>
      <c r="CP27" s="461"/>
      <c r="CQ27" s="402"/>
      <c r="CR27" s="402">
        <f>план!BV31*1.6+план!BW31*1.2+план!BX31*1.49+(план!BZ31-'[1]ОСНОВНЫЕ ОБЪЁМЫ'!$GZ$224)*1.6+'[1]ОСНОВНЫЕ ОБЪЁМЫ'!$GZ$224*1.66</f>
        <v>4417.9254760000003</v>
      </c>
      <c r="CS27" s="402"/>
      <c r="CT27" s="402">
        <f>план!HE31</f>
        <v>21</v>
      </c>
      <c r="CU27" s="402">
        <f>план!GZ31</f>
        <v>1</v>
      </c>
      <c r="CV27" s="402"/>
      <c r="CW27" s="402"/>
      <c r="CX27" s="402"/>
      <c r="CY27" s="402"/>
      <c r="CZ27" s="402">
        <f>план!GK31</f>
        <v>21</v>
      </c>
      <c r="DA27" s="402">
        <f>план!HD31</f>
        <v>1</v>
      </c>
      <c r="DB27" s="402">
        <f>план!HA31</f>
        <v>11</v>
      </c>
      <c r="DC27" s="402"/>
      <c r="DD27" s="402"/>
      <c r="DE27" s="402"/>
      <c r="DF27" s="463"/>
      <c r="DG27" s="463">
        <f>план!DY31</f>
        <v>5.5300000000000002E-2</v>
      </c>
      <c r="DH27" s="402"/>
      <c r="DI27" s="402"/>
      <c r="DJ27" s="402"/>
      <c r="DK27" s="402"/>
      <c r="DL27" s="402"/>
      <c r="DM27" s="402"/>
      <c r="DN27" s="402">
        <f>план!IE31</f>
        <v>1</v>
      </c>
      <c r="DO27" s="402"/>
      <c r="DP27" s="402"/>
      <c r="DQ27" s="402">
        <f>план!GQ31</f>
        <v>11</v>
      </c>
      <c r="DR27" s="402"/>
      <c r="DS27" s="402"/>
      <c r="DT27" s="402"/>
      <c r="DU27" s="402"/>
      <c r="DV27" s="402"/>
      <c r="DW27" s="402"/>
      <c r="DX27" s="402"/>
      <c r="DY27" s="402"/>
      <c r="DZ27" s="402"/>
      <c r="EA27" s="402"/>
      <c r="EB27" s="402"/>
      <c r="EC27" s="402"/>
      <c r="ED27" s="402"/>
      <c r="EE27" s="402"/>
      <c r="EF27" s="402"/>
      <c r="EG27" s="402">
        <f>план!DN31</f>
        <v>423</v>
      </c>
      <c r="EH27" s="402"/>
      <c r="EI27" s="1181">
        <f>план!EB31</f>
        <v>8.3199999999999996E-2</v>
      </c>
      <c r="EJ27" s="402"/>
      <c r="EK27" s="402"/>
      <c r="EL27" s="402"/>
      <c r="EM27" s="402"/>
      <c r="EN27" s="402"/>
      <c r="EO27" s="402"/>
      <c r="EP27" s="402"/>
      <c r="EQ27" s="402"/>
      <c r="ER27" s="402"/>
      <c r="ES27" s="402"/>
      <c r="ET27" s="402">
        <f>план!JL31</f>
        <v>1</v>
      </c>
      <c r="EU27" s="402">
        <f>план!JM31</f>
        <v>20</v>
      </c>
      <c r="EV27" s="402"/>
      <c r="EW27" s="402"/>
      <c r="EX27" s="402"/>
      <c r="EY27" s="402"/>
      <c r="EZ27" s="402"/>
      <c r="FA27" s="402"/>
      <c r="FB27" s="402"/>
      <c r="FC27" s="625"/>
      <c r="FD27" s="402"/>
      <c r="FE27" s="402"/>
      <c r="FF27" s="455"/>
      <c r="FG27" s="402"/>
      <c r="FH27" s="402">
        <f>план!GM31</f>
        <v>17</v>
      </c>
      <c r="FI27" s="402"/>
      <c r="FJ27" s="402"/>
      <c r="FK27" s="402"/>
      <c r="FL27" s="403"/>
      <c r="FM27" s="403"/>
      <c r="FN27" s="940"/>
      <c r="FO27" s="402"/>
      <c r="FP27" s="402"/>
      <c r="FQ27" s="402">
        <f>план!EX31</f>
        <v>18</v>
      </c>
      <c r="FR27" s="402"/>
      <c r="FS27" s="402"/>
      <c r="FT27" s="402">
        <f>план!HC31</f>
        <v>2</v>
      </c>
      <c r="FU27" s="402">
        <f>план!HM31</f>
        <v>9</v>
      </c>
      <c r="FV27" s="402">
        <f>план!HB31</f>
        <v>1</v>
      </c>
      <c r="FW27" s="462"/>
    </row>
    <row r="28" spans="1:179" s="454" customFormat="1" ht="20.25" customHeight="1" x14ac:dyDescent="0.2">
      <c r="A28" s="2038"/>
      <c r="B28" s="421"/>
      <c r="C28" s="453"/>
      <c r="D28" s="450"/>
      <c r="E28" s="425"/>
      <c r="F28" s="425"/>
      <c r="G28" s="426"/>
      <c r="H28" s="425"/>
      <c r="I28" s="425"/>
      <c r="J28" s="425"/>
      <c r="K28" s="425"/>
      <c r="L28" s="432"/>
      <c r="M28" s="425"/>
      <c r="N28" s="425"/>
      <c r="O28" s="425"/>
      <c r="P28" s="425"/>
      <c r="Q28" s="425"/>
      <c r="R28" s="425"/>
      <c r="S28" s="425"/>
      <c r="T28" s="425"/>
      <c r="U28" s="465"/>
      <c r="V28" s="465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  <c r="AI28" s="432"/>
      <c r="AJ28" s="467"/>
      <c r="AK28" s="467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402"/>
      <c r="BC28" s="402"/>
      <c r="BD28" s="399"/>
      <c r="BE28" s="402"/>
      <c r="BF28" s="402"/>
      <c r="BG28" s="399"/>
      <c r="BH28" s="399"/>
      <c r="BI28" s="402"/>
      <c r="BJ28" s="402"/>
      <c r="BK28" s="402"/>
      <c r="BL28" s="402"/>
      <c r="BM28" s="455"/>
      <c r="BN28" s="402"/>
      <c r="BO28" s="402"/>
      <c r="BP28" s="402"/>
      <c r="BQ28" s="402"/>
      <c r="BR28" s="402"/>
      <c r="BS28" s="402"/>
      <c r="BT28" s="402"/>
      <c r="BU28" s="402"/>
      <c r="BV28" s="402"/>
      <c r="BW28" s="402"/>
      <c r="BX28" s="402"/>
      <c r="BY28" s="402"/>
      <c r="BZ28" s="402"/>
      <c r="CA28" s="402"/>
      <c r="CB28" s="402"/>
      <c r="CC28" s="402"/>
      <c r="CD28" s="402"/>
      <c r="CE28" s="402"/>
      <c r="CF28" s="402"/>
      <c r="CG28" s="402"/>
      <c r="CH28" s="402"/>
      <c r="CI28" s="463"/>
      <c r="CJ28" s="402"/>
      <c r="CK28" s="402"/>
      <c r="CL28" s="402"/>
      <c r="CM28" s="461"/>
      <c r="CN28" s="461"/>
      <c r="CO28" s="461"/>
      <c r="CP28" s="461"/>
      <c r="CQ28" s="402"/>
      <c r="CR28" s="402"/>
      <c r="CS28" s="402"/>
      <c r="CT28" s="402"/>
      <c r="CU28" s="402"/>
      <c r="CV28" s="402"/>
      <c r="CW28" s="402"/>
      <c r="CX28" s="402"/>
      <c r="CY28" s="402"/>
      <c r="CZ28" s="402"/>
      <c r="DA28" s="402"/>
      <c r="DB28" s="402"/>
      <c r="DC28" s="402"/>
      <c r="DD28" s="402"/>
      <c r="DE28" s="402"/>
      <c r="DF28" s="463"/>
      <c r="DG28" s="463"/>
      <c r="DH28" s="402"/>
      <c r="DI28" s="402"/>
      <c r="DJ28" s="402"/>
      <c r="DK28" s="402"/>
      <c r="DL28" s="402"/>
      <c r="DM28" s="402"/>
      <c r="DN28" s="402"/>
      <c r="DO28" s="402"/>
      <c r="DP28" s="402"/>
      <c r="DQ28" s="402"/>
      <c r="DR28" s="402"/>
      <c r="DS28" s="402"/>
      <c r="DT28" s="402"/>
      <c r="DU28" s="402"/>
      <c r="DV28" s="402"/>
      <c r="DW28" s="402"/>
      <c r="DX28" s="402"/>
      <c r="DY28" s="402"/>
      <c r="DZ28" s="402"/>
      <c r="EA28" s="402"/>
      <c r="EB28" s="402"/>
      <c r="EC28" s="402"/>
      <c r="ED28" s="402"/>
      <c r="EE28" s="402"/>
      <c r="EF28" s="402"/>
      <c r="EG28" s="402"/>
      <c r="EH28" s="402"/>
      <c r="EI28" s="402"/>
      <c r="EJ28" s="402"/>
      <c r="EK28" s="402"/>
      <c r="EL28" s="402"/>
      <c r="EM28" s="402"/>
      <c r="EN28" s="402"/>
      <c r="EO28" s="402"/>
      <c r="EP28" s="402"/>
      <c r="EQ28" s="402"/>
      <c r="ER28" s="402"/>
      <c r="ES28" s="402"/>
      <c r="ET28" s="402"/>
      <c r="EU28" s="402"/>
      <c r="EV28" s="402"/>
      <c r="EW28" s="402"/>
      <c r="EX28" s="402"/>
      <c r="EY28" s="402"/>
      <c r="EZ28" s="402"/>
      <c r="FA28" s="402"/>
      <c r="FB28" s="402"/>
      <c r="FC28" s="625"/>
      <c r="FD28" s="402"/>
      <c r="FE28" s="402"/>
      <c r="FF28" s="455"/>
      <c r="FG28" s="402"/>
      <c r="FH28" s="402"/>
      <c r="FI28" s="402"/>
      <c r="FJ28" s="402"/>
      <c r="FK28" s="402"/>
      <c r="FL28" s="403"/>
      <c r="FM28" s="403"/>
      <c r="FN28" s="940"/>
      <c r="FO28" s="402"/>
      <c r="FP28" s="402"/>
      <c r="FQ28" s="402"/>
      <c r="FR28" s="402"/>
      <c r="FS28" s="402"/>
      <c r="FT28" s="402"/>
      <c r="FU28" s="402"/>
      <c r="FV28" s="402"/>
      <c r="FW28" s="462"/>
    </row>
    <row r="29" spans="1:179" s="115" customFormat="1" ht="20.25" hidden="1" customHeight="1" x14ac:dyDescent="0.2">
      <c r="A29" s="2038"/>
      <c r="B29" s="421" t="s">
        <v>242</v>
      </c>
      <c r="C29" s="424"/>
      <c r="D29" s="423"/>
      <c r="E29" s="425"/>
      <c r="F29" s="425"/>
      <c r="G29" s="426"/>
      <c r="H29" s="425"/>
      <c r="I29" s="425"/>
      <c r="J29" s="425"/>
      <c r="K29" s="425"/>
      <c r="L29" s="432"/>
      <c r="M29" s="425"/>
      <c r="N29" s="425"/>
      <c r="O29" s="425"/>
      <c r="P29" s="425"/>
      <c r="Q29" s="425"/>
      <c r="R29" s="425"/>
      <c r="S29" s="425"/>
      <c r="T29" s="425"/>
      <c r="U29" s="466"/>
      <c r="V29" s="466"/>
      <c r="W29" s="432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68"/>
      <c r="AK29" s="468"/>
      <c r="AL29" s="405"/>
      <c r="AM29" s="405"/>
      <c r="AN29" s="405"/>
      <c r="AO29" s="405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402"/>
      <c r="BC29" s="402"/>
      <c r="BD29" s="399"/>
      <c r="BE29" s="402"/>
      <c r="BF29" s="402"/>
      <c r="BG29" s="399"/>
      <c r="BH29" s="399"/>
      <c r="BI29" s="402"/>
      <c r="BJ29" s="402"/>
      <c r="BK29" s="402"/>
      <c r="BL29" s="402"/>
      <c r="BM29" s="455"/>
      <c r="BN29" s="402"/>
      <c r="BO29" s="402"/>
      <c r="BP29" s="402"/>
      <c r="BQ29" s="402"/>
      <c r="BR29" s="402"/>
      <c r="BS29" s="402"/>
      <c r="BT29" s="402"/>
      <c r="BU29" s="402"/>
      <c r="BV29" s="402"/>
      <c r="BW29" s="402"/>
      <c r="BX29" s="402"/>
      <c r="BY29" s="402"/>
      <c r="BZ29" s="402"/>
      <c r="CA29" s="402"/>
      <c r="CB29" s="402"/>
      <c r="CC29" s="402"/>
      <c r="CD29" s="402"/>
      <c r="CE29" s="402"/>
      <c r="CF29" s="402"/>
      <c r="CG29" s="402"/>
      <c r="CH29" s="402"/>
      <c r="CI29" s="463"/>
      <c r="CJ29" s="402"/>
      <c r="CK29" s="402"/>
      <c r="CL29" s="402"/>
      <c r="CM29" s="461"/>
      <c r="CN29" s="461"/>
      <c r="CO29" s="461"/>
      <c r="CP29" s="461"/>
      <c r="CQ29" s="402"/>
      <c r="CR29" s="402"/>
      <c r="CS29" s="402"/>
      <c r="CT29" s="402"/>
      <c r="CU29" s="402"/>
      <c r="CV29" s="402"/>
      <c r="CW29" s="402"/>
      <c r="CX29" s="402"/>
      <c r="CY29" s="402"/>
      <c r="CZ29" s="402"/>
      <c r="DA29" s="402"/>
      <c r="DB29" s="402"/>
      <c r="DC29" s="402"/>
      <c r="DD29" s="402"/>
      <c r="DE29" s="402"/>
      <c r="DF29" s="463"/>
      <c r="DG29" s="463"/>
      <c r="DH29" s="402"/>
      <c r="DI29" s="402"/>
      <c r="DJ29" s="402"/>
      <c r="DK29" s="402"/>
      <c r="DL29" s="402"/>
      <c r="DM29" s="402"/>
      <c r="DN29" s="402"/>
      <c r="DO29" s="402"/>
      <c r="DP29" s="402"/>
      <c r="DQ29" s="402"/>
      <c r="DR29" s="402"/>
      <c r="DS29" s="402"/>
      <c r="DT29" s="402"/>
      <c r="DU29" s="402"/>
      <c r="DV29" s="402"/>
      <c r="DW29" s="402"/>
      <c r="DX29" s="402"/>
      <c r="DY29" s="402"/>
      <c r="DZ29" s="402"/>
      <c r="EA29" s="402"/>
      <c r="EB29" s="402"/>
      <c r="EC29" s="402"/>
      <c r="ED29" s="402"/>
      <c r="EE29" s="402"/>
      <c r="EF29" s="402"/>
      <c r="EG29" s="402"/>
      <c r="EH29" s="402"/>
      <c r="EI29" s="402"/>
      <c r="EJ29" s="402"/>
      <c r="EK29" s="402"/>
      <c r="EL29" s="402"/>
      <c r="EM29" s="402"/>
      <c r="EN29" s="402"/>
      <c r="EO29" s="402"/>
      <c r="EP29" s="402"/>
      <c r="EQ29" s="402"/>
      <c r="ER29" s="402"/>
      <c r="ES29" s="402"/>
      <c r="ET29" s="402"/>
      <c r="EU29" s="402"/>
      <c r="EV29" s="402"/>
      <c r="EW29" s="402"/>
      <c r="EX29" s="402"/>
      <c r="EY29" s="402"/>
      <c r="EZ29" s="402"/>
      <c r="FA29" s="402"/>
      <c r="FB29" s="402"/>
      <c r="FC29" s="625"/>
      <c r="FD29" s="402"/>
      <c r="FE29" s="402"/>
      <c r="FF29" s="455"/>
      <c r="FG29" s="402"/>
      <c r="FH29" s="402"/>
      <c r="FI29" s="402"/>
      <c r="FJ29" s="402"/>
      <c r="FK29" s="402"/>
      <c r="FL29" s="403"/>
      <c r="FM29" s="403"/>
      <c r="FN29" s="941"/>
      <c r="FO29" s="402"/>
      <c r="FP29" s="402"/>
      <c r="FQ29" s="402"/>
      <c r="FR29" s="402"/>
      <c r="FS29" s="402"/>
      <c r="FT29" s="402"/>
      <c r="FU29" s="402"/>
      <c r="FV29" s="402"/>
      <c r="FW29" s="464"/>
    </row>
    <row r="30" spans="1:179" s="454" customFormat="1" ht="16.5" hidden="1" customHeight="1" x14ac:dyDescent="0.2">
      <c r="A30" s="2038"/>
      <c r="B30" s="420" t="s">
        <v>410</v>
      </c>
      <c r="C30" s="453">
        <f>план!C82</f>
        <v>0</v>
      </c>
      <c r="D30" s="450">
        <f>план!D82</f>
        <v>0</v>
      </c>
      <c r="E30" s="425"/>
      <c r="F30" s="425"/>
      <c r="G30" s="426"/>
      <c r="H30" s="425"/>
      <c r="I30" s="425"/>
      <c r="J30" s="425"/>
      <c r="K30" s="425"/>
      <c r="L30" s="432">
        <f>план!Y82</f>
        <v>0</v>
      </c>
      <c r="M30" s="425">
        <f>план!AE82</f>
        <v>0</v>
      </c>
      <c r="N30" s="425"/>
      <c r="O30" s="425"/>
      <c r="P30" s="425"/>
      <c r="Q30" s="425">
        <f>план!AJ82</f>
        <v>0</v>
      </c>
      <c r="R30" s="425"/>
      <c r="S30" s="425"/>
      <c r="T30" s="425">
        <f>план!AM82</f>
        <v>0</v>
      </c>
      <c r="U30" s="432"/>
      <c r="V30" s="465"/>
      <c r="W30" s="432">
        <f>план!AS82</f>
        <v>0</v>
      </c>
      <c r="X30" s="432"/>
      <c r="Y30" s="432"/>
      <c r="Z30" s="432"/>
      <c r="AA30" s="432"/>
      <c r="AB30" s="432">
        <f>план!BE82</f>
        <v>0</v>
      </c>
      <c r="AC30" s="432"/>
      <c r="AD30" s="432"/>
      <c r="AE30" s="432"/>
      <c r="AF30" s="432"/>
      <c r="AG30" s="432"/>
      <c r="AH30" s="432"/>
      <c r="AI30" s="432"/>
      <c r="AJ30" s="467"/>
      <c r="AK30" s="467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402"/>
      <c r="BC30" s="402"/>
      <c r="BD30" s="399"/>
      <c r="BE30" s="402"/>
      <c r="BF30" s="402"/>
      <c r="BG30" s="399"/>
      <c r="BH30" s="399"/>
      <c r="BI30" s="402"/>
      <c r="BJ30" s="402"/>
      <c r="BK30" s="402"/>
      <c r="BL30" s="402"/>
      <c r="BM30" s="455"/>
      <c r="BN30" s="402"/>
      <c r="BO30" s="402"/>
      <c r="BP30" s="402"/>
      <c r="BQ30" s="402"/>
      <c r="BR30" s="402"/>
      <c r="BS30" s="402"/>
      <c r="BT30" s="402"/>
      <c r="BU30" s="402"/>
      <c r="BV30" s="402"/>
      <c r="BW30" s="402"/>
      <c r="BX30" s="402"/>
      <c r="BY30" s="402"/>
      <c r="BZ30" s="402"/>
      <c r="CA30" s="402"/>
      <c r="CB30" s="402"/>
      <c r="CC30" s="402"/>
      <c r="CD30" s="402"/>
      <c r="CE30" s="402"/>
      <c r="CF30" s="402"/>
      <c r="CG30" s="402"/>
      <c r="CH30" s="402"/>
      <c r="CI30" s="817">
        <f>план!AQ82</f>
        <v>0</v>
      </c>
      <c r="CJ30" s="402"/>
      <c r="CK30" s="402"/>
      <c r="CL30" s="402"/>
      <c r="CM30" s="461"/>
      <c r="CN30" s="461"/>
      <c r="CO30" s="461"/>
      <c r="CP30" s="461"/>
      <c r="CQ30" s="402"/>
      <c r="CR30" s="402"/>
      <c r="CS30" s="402"/>
      <c r="CT30" s="402"/>
      <c r="CU30" s="402"/>
      <c r="CV30" s="402"/>
      <c r="CW30" s="402"/>
      <c r="CX30" s="402"/>
      <c r="CY30" s="402"/>
      <c r="CZ30" s="402"/>
      <c r="DA30" s="402"/>
      <c r="DB30" s="402"/>
      <c r="DC30" s="402"/>
      <c r="DD30" s="402"/>
      <c r="DE30" s="402"/>
      <c r="DF30" s="463"/>
      <c r="DG30" s="463"/>
      <c r="DH30" s="402"/>
      <c r="DI30" s="402"/>
      <c r="DJ30" s="402"/>
      <c r="DK30" s="402"/>
      <c r="DL30" s="402"/>
      <c r="DM30" s="402"/>
      <c r="DN30" s="402"/>
      <c r="DO30" s="402"/>
      <c r="DP30" s="402"/>
      <c r="DQ30" s="402"/>
      <c r="DR30" s="402"/>
      <c r="DS30" s="402"/>
      <c r="DT30" s="402"/>
      <c r="DU30" s="402"/>
      <c r="DV30" s="402"/>
      <c r="DW30" s="402"/>
      <c r="DX30" s="402"/>
      <c r="DY30" s="402"/>
      <c r="DZ30" s="402"/>
      <c r="EA30" s="402"/>
      <c r="EB30" s="402"/>
      <c r="EC30" s="402"/>
      <c r="ED30" s="402"/>
      <c r="EE30" s="402"/>
      <c r="EF30" s="402"/>
      <c r="EG30" s="402"/>
      <c r="EH30" s="402"/>
      <c r="EI30" s="402"/>
      <c r="EJ30" s="402"/>
      <c r="EK30" s="402"/>
      <c r="EL30" s="402"/>
      <c r="EM30" s="402"/>
      <c r="EN30" s="402"/>
      <c r="EO30" s="402"/>
      <c r="EP30" s="402"/>
      <c r="EQ30" s="402"/>
      <c r="ER30" s="402"/>
      <c r="ES30" s="402"/>
      <c r="ET30" s="402"/>
      <c r="EU30" s="402"/>
      <c r="EV30" s="402"/>
      <c r="EW30" s="402"/>
      <c r="EX30" s="402"/>
      <c r="EY30" s="402"/>
      <c r="EZ30" s="402"/>
      <c r="FA30" s="402"/>
      <c r="FB30" s="402"/>
      <c r="FC30" s="625"/>
      <c r="FD30" s="402"/>
      <c r="FE30" s="402"/>
      <c r="FF30" s="455"/>
      <c r="FG30" s="402"/>
      <c r="FH30" s="402"/>
      <c r="FI30" s="402"/>
      <c r="FJ30" s="402"/>
      <c r="FK30" s="402"/>
      <c r="FL30" s="403"/>
      <c r="FM30" s="403"/>
      <c r="FN30" s="940"/>
      <c r="FO30" s="402"/>
      <c r="FP30" s="402"/>
      <c r="FQ30" s="402"/>
      <c r="FR30" s="402"/>
      <c r="FS30" s="402"/>
      <c r="FT30" s="402"/>
      <c r="FU30" s="402"/>
      <c r="FV30" s="402"/>
      <c r="FW30" s="462"/>
    </row>
    <row r="31" spans="1:179" s="454" customFormat="1" ht="31.5" hidden="1" x14ac:dyDescent="0.2">
      <c r="A31" s="2038"/>
      <c r="B31" s="420" t="s">
        <v>446</v>
      </c>
      <c r="C31" s="453">
        <f>план!C83</f>
        <v>0</v>
      </c>
      <c r="D31" s="450">
        <f>план!D83</f>
        <v>0</v>
      </c>
      <c r="E31" s="425"/>
      <c r="F31" s="425"/>
      <c r="G31" s="426"/>
      <c r="H31" s="425"/>
      <c r="I31" s="425"/>
      <c r="J31" s="425"/>
      <c r="K31" s="425"/>
      <c r="L31" s="432">
        <f>план!Y83+план!AB83+план!AD83</f>
        <v>0</v>
      </c>
      <c r="M31" s="425">
        <f>план!AE83</f>
        <v>0</v>
      </c>
      <c r="N31" s="425"/>
      <c r="O31" s="425"/>
      <c r="P31" s="425"/>
      <c r="Q31" s="425">
        <f>план!AJ83</f>
        <v>0</v>
      </c>
      <c r="R31" s="425">
        <f>план!AK83</f>
        <v>0</v>
      </c>
      <c r="S31" s="425"/>
      <c r="T31" s="425">
        <f>план!AM83</f>
        <v>0</v>
      </c>
      <c r="U31" s="432">
        <f>план!AN83</f>
        <v>0</v>
      </c>
      <c r="V31" s="465"/>
      <c r="W31" s="432">
        <f>план!AS83</f>
        <v>0</v>
      </c>
      <c r="X31" s="432"/>
      <c r="Y31" s="432">
        <f>план!AY83+план!BJ83</f>
        <v>0</v>
      </c>
      <c r="Z31" s="432"/>
      <c r="AA31" s="432">
        <f>план!BL83</f>
        <v>0</v>
      </c>
      <c r="AB31" s="432"/>
      <c r="AC31" s="432"/>
      <c r="AD31" s="432"/>
      <c r="AE31" s="432"/>
      <c r="AF31" s="432"/>
      <c r="AG31" s="432">
        <f>план!AX83</f>
        <v>0</v>
      </c>
      <c r="AH31" s="432"/>
      <c r="AI31" s="432"/>
      <c r="AJ31" s="467"/>
      <c r="AK31" s="467"/>
      <c r="AL31" s="399"/>
      <c r="AM31" s="399">
        <f>план!DV83</f>
        <v>0</v>
      </c>
      <c r="AN31" s="399"/>
      <c r="AO31" s="399">
        <f>план!CI83</f>
        <v>0</v>
      </c>
      <c r="AP31" s="399">
        <f>план!CK83</f>
        <v>0</v>
      </c>
      <c r="AQ31" s="399"/>
      <c r="AR31" s="399">
        <f>план!CO83</f>
        <v>0</v>
      </c>
      <c r="AS31" s="399"/>
      <c r="AT31" s="399"/>
      <c r="AU31" s="399"/>
      <c r="AV31" s="399"/>
      <c r="AW31" s="399"/>
      <c r="AX31" s="399"/>
      <c r="AY31" s="399"/>
      <c r="AZ31" s="399"/>
      <c r="BA31" s="399"/>
      <c r="BB31" s="402"/>
      <c r="BC31" s="402">
        <f>план!CR83</f>
        <v>0</v>
      </c>
      <c r="BD31" s="399"/>
      <c r="BE31" s="402"/>
      <c r="BF31" s="402"/>
      <c r="BG31" s="399"/>
      <c r="BH31" s="399"/>
      <c r="BI31" s="402"/>
      <c r="BJ31" s="402"/>
      <c r="BK31" s="402"/>
      <c r="BL31" s="402"/>
      <c r="BM31" s="455"/>
      <c r="BN31" s="402"/>
      <c r="BO31" s="402"/>
      <c r="BP31" s="402"/>
      <c r="BQ31" s="402"/>
      <c r="BR31" s="402"/>
      <c r="BS31" s="402"/>
      <c r="BT31" s="402"/>
      <c r="BU31" s="402"/>
      <c r="BV31" s="402"/>
      <c r="BW31" s="402"/>
      <c r="BX31" s="402"/>
      <c r="BY31" s="402"/>
      <c r="BZ31" s="402"/>
      <c r="CA31" s="402"/>
      <c r="CB31" s="402"/>
      <c r="CC31" s="402"/>
      <c r="CD31" s="402"/>
      <c r="CE31" s="402"/>
      <c r="CF31" s="402"/>
      <c r="CG31" s="402"/>
      <c r="CH31" s="402"/>
      <c r="CI31" s="463">
        <f>план!AQ83</f>
        <v>0</v>
      </c>
      <c r="CJ31" s="402"/>
      <c r="CK31" s="402"/>
      <c r="CL31" s="402"/>
      <c r="CM31" s="461"/>
      <c r="CN31" s="461"/>
      <c r="CO31" s="461"/>
      <c r="CP31" s="461"/>
      <c r="CQ31" s="402"/>
      <c r="CR31" s="402">
        <f>план!BW83*1.2+план!BZ83*1.6</f>
        <v>0</v>
      </c>
      <c r="CS31" s="402"/>
      <c r="CT31" s="402"/>
      <c r="CU31" s="402"/>
      <c r="CV31" s="402"/>
      <c r="CW31" s="402"/>
      <c r="CX31" s="402"/>
      <c r="CY31" s="402"/>
      <c r="CZ31" s="402"/>
      <c r="DA31" s="402"/>
      <c r="DB31" s="402"/>
      <c r="DC31" s="402"/>
      <c r="DD31" s="402"/>
      <c r="DE31" s="402"/>
      <c r="DF31" s="463"/>
      <c r="DG31" s="463"/>
      <c r="DH31" s="402"/>
      <c r="DI31" s="402"/>
      <c r="DJ31" s="402"/>
      <c r="DK31" s="402"/>
      <c r="DL31" s="402"/>
      <c r="DM31" s="402"/>
      <c r="DN31" s="402"/>
      <c r="DO31" s="402"/>
      <c r="DP31" s="402"/>
      <c r="DQ31" s="402"/>
      <c r="DR31" s="402"/>
      <c r="DS31" s="402"/>
      <c r="DT31" s="402"/>
      <c r="DU31" s="402"/>
      <c r="DV31" s="402"/>
      <c r="DW31" s="402"/>
      <c r="DX31" s="402"/>
      <c r="DY31" s="402"/>
      <c r="DZ31" s="402"/>
      <c r="EA31" s="402"/>
      <c r="EB31" s="402"/>
      <c r="EC31" s="402"/>
      <c r="ED31" s="402"/>
      <c r="EE31" s="402"/>
      <c r="EF31" s="402"/>
      <c r="EG31" s="402"/>
      <c r="EH31" s="402"/>
      <c r="EI31" s="402"/>
      <c r="EJ31" s="402"/>
      <c r="EK31" s="402"/>
      <c r="EL31" s="402"/>
      <c r="EM31" s="402"/>
      <c r="EN31" s="402"/>
      <c r="EO31" s="402"/>
      <c r="EP31" s="402"/>
      <c r="EQ31" s="402"/>
      <c r="ER31" s="402"/>
      <c r="ES31" s="402"/>
      <c r="ET31" s="402"/>
      <c r="EU31" s="402"/>
      <c r="EV31" s="402"/>
      <c r="EW31" s="402"/>
      <c r="EX31" s="402"/>
      <c r="EY31" s="402"/>
      <c r="EZ31" s="402"/>
      <c r="FA31" s="402"/>
      <c r="FB31" s="402"/>
      <c r="FC31" s="625"/>
      <c r="FD31" s="402"/>
      <c r="FE31" s="402"/>
      <c r="FF31" s="455"/>
      <c r="FG31" s="402"/>
      <c r="FH31" s="402"/>
      <c r="FI31" s="402"/>
      <c r="FJ31" s="402"/>
      <c r="FK31" s="402"/>
      <c r="FL31" s="403"/>
      <c r="FM31" s="403"/>
      <c r="FN31" s="940">
        <f>план!CM83</f>
        <v>0</v>
      </c>
      <c r="FO31" s="402"/>
      <c r="FP31" s="402"/>
      <c r="FQ31" s="402"/>
      <c r="FR31" s="402"/>
      <c r="FS31" s="402"/>
      <c r="FT31" s="402"/>
      <c r="FU31" s="402"/>
      <c r="FV31" s="402"/>
      <c r="FW31" s="462"/>
    </row>
    <row r="32" spans="1:179" s="1176" customFormat="1" ht="31.5" hidden="1" x14ac:dyDescent="0.2">
      <c r="A32" s="2038"/>
      <c r="B32" s="1163" t="s">
        <v>571</v>
      </c>
      <c r="C32" s="1177">
        <f>план!C86</f>
        <v>0</v>
      </c>
      <c r="D32" s="1164">
        <f>план!D86</f>
        <v>0</v>
      </c>
      <c r="E32" s="1165"/>
      <c r="F32" s="1165"/>
      <c r="G32" s="1166"/>
      <c r="H32" s="1165"/>
      <c r="I32" s="1165"/>
      <c r="J32" s="1165"/>
      <c r="K32" s="1165"/>
      <c r="L32" s="1167"/>
      <c r="M32" s="1165"/>
      <c r="N32" s="1165"/>
      <c r="O32" s="1165"/>
      <c r="P32" s="1165"/>
      <c r="Q32" s="1165"/>
      <c r="R32" s="1165"/>
      <c r="S32" s="1165"/>
      <c r="T32" s="1165"/>
      <c r="U32" s="1167"/>
      <c r="V32" s="1178"/>
      <c r="W32" s="1167"/>
      <c r="X32" s="1167"/>
      <c r="Y32" s="1167"/>
      <c r="Z32" s="1167"/>
      <c r="AA32" s="1167"/>
      <c r="AB32" s="1167"/>
      <c r="AC32" s="1167">
        <f>план!BR86</f>
        <v>0</v>
      </c>
      <c r="AD32" s="1167">
        <f>план!BT86</f>
        <v>0</v>
      </c>
      <c r="AE32" s="1167"/>
      <c r="AF32" s="1167"/>
      <c r="AG32" s="1167"/>
      <c r="AH32" s="1167"/>
      <c r="AI32" s="1167"/>
      <c r="AJ32" s="1179"/>
      <c r="AK32" s="1179"/>
      <c r="AL32" s="1169"/>
      <c r="AM32" s="1169"/>
      <c r="AN32" s="1169"/>
      <c r="AO32" s="1169"/>
      <c r="AP32" s="1169"/>
      <c r="AQ32" s="1169"/>
      <c r="AR32" s="1169"/>
      <c r="AS32" s="1169"/>
      <c r="AT32" s="1169"/>
      <c r="AU32" s="1169"/>
      <c r="AV32" s="1169"/>
      <c r="AW32" s="1169"/>
      <c r="AX32" s="1169"/>
      <c r="AY32" s="1169"/>
      <c r="AZ32" s="1169"/>
      <c r="BA32" s="1169"/>
      <c r="BB32" s="1170"/>
      <c r="BC32" s="1170"/>
      <c r="BD32" s="1169"/>
      <c r="BE32" s="1170"/>
      <c r="BF32" s="1170"/>
      <c r="BG32" s="1169"/>
      <c r="BH32" s="1169"/>
      <c r="BI32" s="1170"/>
      <c r="BJ32" s="1170"/>
      <c r="BK32" s="1170"/>
      <c r="BL32" s="1170"/>
      <c r="BM32" s="1171"/>
      <c r="BN32" s="1170"/>
      <c r="BO32" s="1170"/>
      <c r="BP32" s="1170"/>
      <c r="BQ32" s="1170"/>
      <c r="BR32" s="1170"/>
      <c r="BS32" s="1170"/>
      <c r="BT32" s="1170"/>
      <c r="BU32" s="1170"/>
      <c r="BV32" s="1170"/>
      <c r="BW32" s="1170"/>
      <c r="BX32" s="1170"/>
      <c r="BY32" s="1170"/>
      <c r="BZ32" s="1170"/>
      <c r="CA32" s="1170"/>
      <c r="CB32" s="1170"/>
      <c r="CC32" s="1170"/>
      <c r="CD32" s="1170"/>
      <c r="CE32" s="1170"/>
      <c r="CF32" s="1170"/>
      <c r="CG32" s="1170"/>
      <c r="CH32" s="1170"/>
      <c r="CI32" s="817"/>
      <c r="CJ32" s="1170"/>
      <c r="CK32" s="1170"/>
      <c r="CL32" s="1170"/>
      <c r="CM32" s="1172"/>
      <c r="CN32" s="1172"/>
      <c r="CO32" s="1172"/>
      <c r="CP32" s="1172"/>
      <c r="CQ32" s="1170"/>
      <c r="CR32" s="1170"/>
      <c r="CS32" s="1170"/>
      <c r="CT32" s="1170"/>
      <c r="CU32" s="1170"/>
      <c r="CV32" s="1170"/>
      <c r="CW32" s="1170"/>
      <c r="CX32" s="1170"/>
      <c r="CY32" s="1170"/>
      <c r="CZ32" s="1170"/>
      <c r="DA32" s="1170"/>
      <c r="DB32" s="1170"/>
      <c r="DC32" s="1170"/>
      <c r="DD32" s="1170"/>
      <c r="DE32" s="1170"/>
      <c r="DF32" s="817"/>
      <c r="DG32" s="817"/>
      <c r="DH32" s="1170"/>
      <c r="DI32" s="1170"/>
      <c r="DJ32" s="1170"/>
      <c r="DK32" s="1170"/>
      <c r="DL32" s="1170"/>
      <c r="DM32" s="1170"/>
      <c r="DN32" s="1170"/>
      <c r="DO32" s="1170"/>
      <c r="DP32" s="1170"/>
      <c r="DQ32" s="1170"/>
      <c r="DR32" s="1170"/>
      <c r="DS32" s="1170"/>
      <c r="DT32" s="1170"/>
      <c r="DU32" s="1170"/>
      <c r="DV32" s="1170"/>
      <c r="DW32" s="1170"/>
      <c r="DX32" s="1170"/>
      <c r="DY32" s="1170"/>
      <c r="DZ32" s="1170"/>
      <c r="EA32" s="1170"/>
      <c r="EB32" s="1170"/>
      <c r="EC32" s="1170"/>
      <c r="ED32" s="1170"/>
      <c r="EE32" s="1170"/>
      <c r="EF32" s="1170"/>
      <c r="EG32" s="1170"/>
      <c r="EH32" s="1170"/>
      <c r="EI32" s="1170"/>
      <c r="EJ32" s="1170"/>
      <c r="EK32" s="1170"/>
      <c r="EL32" s="1170"/>
      <c r="EM32" s="1170"/>
      <c r="EN32" s="1170"/>
      <c r="EO32" s="1170"/>
      <c r="EP32" s="1170"/>
      <c r="EQ32" s="1170"/>
      <c r="ER32" s="1170"/>
      <c r="ES32" s="1170"/>
      <c r="ET32" s="1170"/>
      <c r="EU32" s="1170"/>
      <c r="EV32" s="1170"/>
      <c r="EW32" s="1170"/>
      <c r="EX32" s="1170"/>
      <c r="EY32" s="1170"/>
      <c r="EZ32" s="1170"/>
      <c r="FA32" s="1170"/>
      <c r="FB32" s="1170"/>
      <c r="FC32" s="1173"/>
      <c r="FD32" s="1170"/>
      <c r="FE32" s="1170"/>
      <c r="FF32" s="1171"/>
      <c r="FG32" s="1170"/>
      <c r="FH32" s="1170"/>
      <c r="FI32" s="1170"/>
      <c r="FJ32" s="1170"/>
      <c r="FK32" s="1170"/>
      <c r="FL32" s="1168"/>
      <c r="FM32" s="1168"/>
      <c r="FN32" s="1174"/>
      <c r="FO32" s="1170"/>
      <c r="FP32" s="1170"/>
      <c r="FQ32" s="1170"/>
      <c r="FR32" s="1170"/>
      <c r="FS32" s="1170"/>
      <c r="FT32" s="1170"/>
      <c r="FU32" s="1170"/>
      <c r="FV32" s="1170"/>
      <c r="FW32" s="1175"/>
    </row>
    <row r="33" spans="1:179" s="1176" customFormat="1" hidden="1" x14ac:dyDescent="0.2">
      <c r="A33" s="2038"/>
      <c r="B33" s="1163" t="s">
        <v>570</v>
      </c>
      <c r="C33" s="1177">
        <f>план!C87</f>
        <v>0</v>
      </c>
      <c r="D33" s="1164">
        <f>план!D87</f>
        <v>0</v>
      </c>
      <c r="E33" s="1165"/>
      <c r="F33" s="1165"/>
      <c r="G33" s="1166"/>
      <c r="H33" s="1165"/>
      <c r="I33" s="1165"/>
      <c r="J33" s="1165"/>
      <c r="K33" s="1165"/>
      <c r="L33" s="1167"/>
      <c r="M33" s="1165"/>
      <c r="N33" s="1165"/>
      <c r="O33" s="1165"/>
      <c r="P33" s="1165"/>
      <c r="Q33" s="1165"/>
      <c r="R33" s="1165"/>
      <c r="S33" s="1165"/>
      <c r="T33" s="1165"/>
      <c r="U33" s="1167"/>
      <c r="V33" s="1178"/>
      <c r="W33" s="1167"/>
      <c r="X33" s="1167"/>
      <c r="Y33" s="1167"/>
      <c r="Z33" s="1167"/>
      <c r="AA33" s="1167"/>
      <c r="AB33" s="1167"/>
      <c r="AC33" s="1167">
        <f>план!BR87</f>
        <v>0</v>
      </c>
      <c r="AD33" s="1167">
        <f>план!BT87</f>
        <v>0</v>
      </c>
      <c r="AE33" s="1167"/>
      <c r="AF33" s="1167"/>
      <c r="AG33" s="1167"/>
      <c r="AH33" s="1167"/>
      <c r="AI33" s="1167"/>
      <c r="AJ33" s="1179"/>
      <c r="AK33" s="1179"/>
      <c r="AL33" s="1169"/>
      <c r="AM33" s="1169"/>
      <c r="AN33" s="1169"/>
      <c r="AO33" s="1169"/>
      <c r="AP33" s="1169"/>
      <c r="AQ33" s="1169"/>
      <c r="AR33" s="1169"/>
      <c r="AS33" s="1169"/>
      <c r="AT33" s="1169"/>
      <c r="AU33" s="1169"/>
      <c r="AV33" s="1169"/>
      <c r="AW33" s="1169"/>
      <c r="AX33" s="1169"/>
      <c r="AY33" s="1169"/>
      <c r="AZ33" s="1169"/>
      <c r="BA33" s="1169"/>
      <c r="BB33" s="1170"/>
      <c r="BC33" s="1170"/>
      <c r="BD33" s="1169"/>
      <c r="BE33" s="1170"/>
      <c r="BF33" s="1170"/>
      <c r="BG33" s="1169"/>
      <c r="BH33" s="1169"/>
      <c r="BI33" s="1170"/>
      <c r="BJ33" s="1170"/>
      <c r="BK33" s="1170"/>
      <c r="BL33" s="1170"/>
      <c r="BM33" s="1171"/>
      <c r="BN33" s="1170"/>
      <c r="BO33" s="1170"/>
      <c r="BP33" s="1170"/>
      <c r="BQ33" s="1170"/>
      <c r="BR33" s="1170"/>
      <c r="BS33" s="1170"/>
      <c r="BT33" s="1170"/>
      <c r="BU33" s="1170"/>
      <c r="BV33" s="1170"/>
      <c r="BW33" s="1170"/>
      <c r="BX33" s="1170"/>
      <c r="BY33" s="1170"/>
      <c r="BZ33" s="1170"/>
      <c r="CA33" s="1170"/>
      <c r="CB33" s="1170"/>
      <c r="CC33" s="1170"/>
      <c r="CD33" s="1170"/>
      <c r="CE33" s="1170"/>
      <c r="CF33" s="1170"/>
      <c r="CG33" s="1170"/>
      <c r="CH33" s="1170"/>
      <c r="CI33" s="817"/>
      <c r="CJ33" s="1170"/>
      <c r="CK33" s="1170"/>
      <c r="CL33" s="1170"/>
      <c r="CM33" s="1172"/>
      <c r="CN33" s="1172"/>
      <c r="CO33" s="1172"/>
      <c r="CP33" s="1172"/>
      <c r="CQ33" s="1170"/>
      <c r="CR33" s="1170"/>
      <c r="CS33" s="1170"/>
      <c r="CT33" s="1170"/>
      <c r="CU33" s="1170"/>
      <c r="CV33" s="1170"/>
      <c r="CW33" s="1170"/>
      <c r="CX33" s="1170"/>
      <c r="CY33" s="1170"/>
      <c r="CZ33" s="1170"/>
      <c r="DA33" s="1170"/>
      <c r="DB33" s="1170"/>
      <c r="DC33" s="1170"/>
      <c r="DD33" s="1170"/>
      <c r="DE33" s="1170"/>
      <c r="DF33" s="817"/>
      <c r="DG33" s="817"/>
      <c r="DH33" s="1170"/>
      <c r="DI33" s="1170"/>
      <c r="DJ33" s="1170"/>
      <c r="DK33" s="1170"/>
      <c r="DL33" s="1170"/>
      <c r="DM33" s="1170"/>
      <c r="DN33" s="1170"/>
      <c r="DO33" s="1170"/>
      <c r="DP33" s="1170"/>
      <c r="DQ33" s="1170"/>
      <c r="DR33" s="1170"/>
      <c r="DS33" s="1170"/>
      <c r="DT33" s="1170"/>
      <c r="DU33" s="1170"/>
      <c r="DV33" s="1170"/>
      <c r="DW33" s="1170"/>
      <c r="DX33" s="1170"/>
      <c r="DY33" s="1170"/>
      <c r="DZ33" s="1170"/>
      <c r="EA33" s="1170"/>
      <c r="EB33" s="1170"/>
      <c r="EC33" s="1170"/>
      <c r="ED33" s="1170"/>
      <c r="EE33" s="1170"/>
      <c r="EF33" s="1170"/>
      <c r="EG33" s="1170"/>
      <c r="EH33" s="1170"/>
      <c r="EI33" s="1170"/>
      <c r="EJ33" s="1170"/>
      <c r="EK33" s="1170"/>
      <c r="EL33" s="1170"/>
      <c r="EM33" s="1170"/>
      <c r="EN33" s="1170"/>
      <c r="EO33" s="1170"/>
      <c r="EP33" s="1170"/>
      <c r="EQ33" s="1170"/>
      <c r="ER33" s="1170"/>
      <c r="ES33" s="1170"/>
      <c r="ET33" s="1170"/>
      <c r="EU33" s="1170"/>
      <c r="EV33" s="1170"/>
      <c r="EW33" s="1170"/>
      <c r="EX33" s="1170"/>
      <c r="EY33" s="1170"/>
      <c r="EZ33" s="1170"/>
      <c r="FA33" s="1170"/>
      <c r="FB33" s="1170"/>
      <c r="FC33" s="1173"/>
      <c r="FD33" s="1170"/>
      <c r="FE33" s="1170"/>
      <c r="FF33" s="1171"/>
      <c r="FG33" s="1170"/>
      <c r="FH33" s="1170"/>
      <c r="FI33" s="1170"/>
      <c r="FJ33" s="1170"/>
      <c r="FK33" s="1170"/>
      <c r="FL33" s="1168"/>
      <c r="FM33" s="1168"/>
      <c r="FN33" s="1174"/>
      <c r="FO33" s="1170"/>
      <c r="FP33" s="1170"/>
      <c r="FQ33" s="1170"/>
      <c r="FR33" s="1170"/>
      <c r="FS33" s="1170"/>
      <c r="FT33" s="1170"/>
      <c r="FU33" s="1170"/>
      <c r="FV33" s="1170"/>
      <c r="FW33" s="1175"/>
    </row>
    <row r="34" spans="1:179" s="454" customFormat="1" hidden="1" x14ac:dyDescent="0.2">
      <c r="A34" s="2038"/>
      <c r="B34" s="420"/>
      <c r="C34" s="453"/>
      <c r="D34" s="450"/>
      <c r="E34" s="425"/>
      <c r="F34" s="425"/>
      <c r="G34" s="426"/>
      <c r="H34" s="425"/>
      <c r="I34" s="425"/>
      <c r="J34" s="425"/>
      <c r="K34" s="425"/>
      <c r="L34" s="432"/>
      <c r="M34" s="425"/>
      <c r="N34" s="425"/>
      <c r="O34" s="425"/>
      <c r="P34" s="425"/>
      <c r="Q34" s="425"/>
      <c r="R34" s="425"/>
      <c r="S34" s="425"/>
      <c r="T34" s="425"/>
      <c r="U34" s="432"/>
      <c r="V34" s="465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2"/>
      <c r="AI34" s="432"/>
      <c r="AJ34" s="467"/>
      <c r="AK34" s="467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402"/>
      <c r="BC34" s="402"/>
      <c r="BD34" s="399"/>
      <c r="BE34" s="402"/>
      <c r="BF34" s="402"/>
      <c r="BG34" s="399"/>
      <c r="BH34" s="399"/>
      <c r="BI34" s="402"/>
      <c r="BJ34" s="402"/>
      <c r="BK34" s="402"/>
      <c r="BL34" s="402"/>
      <c r="BM34" s="455"/>
      <c r="BN34" s="402"/>
      <c r="BO34" s="402"/>
      <c r="BP34" s="402"/>
      <c r="BQ34" s="402"/>
      <c r="BR34" s="402"/>
      <c r="BS34" s="402"/>
      <c r="BT34" s="402"/>
      <c r="BU34" s="402"/>
      <c r="BV34" s="402"/>
      <c r="BW34" s="402"/>
      <c r="BX34" s="402"/>
      <c r="BY34" s="402"/>
      <c r="BZ34" s="402"/>
      <c r="CA34" s="402"/>
      <c r="CB34" s="402"/>
      <c r="CC34" s="402"/>
      <c r="CD34" s="402"/>
      <c r="CE34" s="402"/>
      <c r="CF34" s="402"/>
      <c r="CG34" s="402"/>
      <c r="CH34" s="402"/>
      <c r="CI34" s="463"/>
      <c r="CJ34" s="402"/>
      <c r="CK34" s="402"/>
      <c r="CL34" s="402"/>
      <c r="CM34" s="461"/>
      <c r="CN34" s="461"/>
      <c r="CO34" s="461"/>
      <c r="CP34" s="461"/>
      <c r="CQ34" s="402"/>
      <c r="CR34" s="402"/>
      <c r="CS34" s="402"/>
      <c r="CT34" s="402"/>
      <c r="CU34" s="402"/>
      <c r="CV34" s="402"/>
      <c r="CW34" s="402"/>
      <c r="CX34" s="402"/>
      <c r="CY34" s="402"/>
      <c r="CZ34" s="402"/>
      <c r="DA34" s="402"/>
      <c r="DB34" s="402"/>
      <c r="DC34" s="402"/>
      <c r="DD34" s="402"/>
      <c r="DE34" s="402"/>
      <c r="DF34" s="463"/>
      <c r="DG34" s="463"/>
      <c r="DH34" s="402"/>
      <c r="DI34" s="402"/>
      <c r="DJ34" s="402"/>
      <c r="DK34" s="402"/>
      <c r="DL34" s="402"/>
      <c r="DM34" s="402"/>
      <c r="DN34" s="402"/>
      <c r="DO34" s="402"/>
      <c r="DP34" s="402"/>
      <c r="DQ34" s="402"/>
      <c r="DR34" s="402"/>
      <c r="DS34" s="402"/>
      <c r="DT34" s="402"/>
      <c r="DU34" s="402"/>
      <c r="DV34" s="402"/>
      <c r="DW34" s="402"/>
      <c r="DX34" s="402"/>
      <c r="DY34" s="402"/>
      <c r="DZ34" s="402"/>
      <c r="EA34" s="402"/>
      <c r="EB34" s="402"/>
      <c r="EC34" s="402"/>
      <c r="ED34" s="402"/>
      <c r="EE34" s="402"/>
      <c r="EF34" s="402"/>
      <c r="EG34" s="402"/>
      <c r="EH34" s="402"/>
      <c r="EI34" s="402"/>
      <c r="EJ34" s="402"/>
      <c r="EK34" s="402"/>
      <c r="EL34" s="402"/>
      <c r="EM34" s="402"/>
      <c r="EN34" s="402"/>
      <c r="EO34" s="402"/>
      <c r="EP34" s="402"/>
      <c r="EQ34" s="402"/>
      <c r="ER34" s="402"/>
      <c r="ES34" s="402"/>
      <c r="ET34" s="402"/>
      <c r="EU34" s="402"/>
      <c r="EV34" s="402"/>
      <c r="EW34" s="402"/>
      <c r="EX34" s="402"/>
      <c r="EY34" s="402"/>
      <c r="EZ34" s="402"/>
      <c r="FA34" s="402"/>
      <c r="FB34" s="402"/>
      <c r="FC34" s="625"/>
      <c r="FD34" s="402"/>
      <c r="FE34" s="402"/>
      <c r="FF34" s="455"/>
      <c r="FG34" s="402"/>
      <c r="FH34" s="402"/>
      <c r="FI34" s="402"/>
      <c r="FJ34" s="402"/>
      <c r="FK34" s="402"/>
      <c r="FL34" s="403"/>
      <c r="FM34" s="403"/>
      <c r="FN34" s="940"/>
      <c r="FO34" s="402"/>
      <c r="FP34" s="402"/>
      <c r="FQ34" s="402"/>
      <c r="FR34" s="402"/>
      <c r="FS34" s="402"/>
      <c r="FT34" s="402"/>
      <c r="FU34" s="402"/>
      <c r="FV34" s="402"/>
      <c r="FW34" s="462"/>
    </row>
    <row r="35" spans="1:179" s="454" customFormat="1" ht="20.25" hidden="1" customHeight="1" x14ac:dyDescent="0.2">
      <c r="A35" s="2038"/>
      <c r="B35" s="421"/>
      <c r="C35" s="453"/>
      <c r="D35" s="450"/>
      <c r="E35" s="425"/>
      <c r="F35" s="425"/>
      <c r="G35" s="426"/>
      <c r="H35" s="425"/>
      <c r="I35" s="425"/>
      <c r="J35" s="425"/>
      <c r="K35" s="425"/>
      <c r="L35" s="432"/>
      <c r="M35" s="425"/>
      <c r="N35" s="425"/>
      <c r="O35" s="425"/>
      <c r="P35" s="425"/>
      <c r="Q35" s="425"/>
      <c r="R35" s="425"/>
      <c r="S35" s="425"/>
      <c r="T35" s="425"/>
      <c r="U35" s="465"/>
      <c r="V35" s="465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2"/>
      <c r="AJ35" s="467"/>
      <c r="AK35" s="467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402"/>
      <c r="BC35" s="402"/>
      <c r="BD35" s="399"/>
      <c r="BE35" s="402"/>
      <c r="BF35" s="402"/>
      <c r="BG35" s="399"/>
      <c r="BH35" s="399"/>
      <c r="BI35" s="402"/>
      <c r="BJ35" s="402"/>
      <c r="BK35" s="402"/>
      <c r="BL35" s="402"/>
      <c r="BM35" s="455"/>
      <c r="BN35" s="402"/>
      <c r="BO35" s="402"/>
      <c r="BP35" s="402"/>
      <c r="BQ35" s="402"/>
      <c r="BR35" s="402"/>
      <c r="BS35" s="402"/>
      <c r="BT35" s="402"/>
      <c r="BU35" s="402"/>
      <c r="BV35" s="402"/>
      <c r="BW35" s="402"/>
      <c r="BX35" s="402"/>
      <c r="BY35" s="402"/>
      <c r="BZ35" s="402"/>
      <c r="CA35" s="402"/>
      <c r="CB35" s="402"/>
      <c r="CC35" s="402"/>
      <c r="CD35" s="402"/>
      <c r="CE35" s="402"/>
      <c r="CF35" s="402"/>
      <c r="CG35" s="402"/>
      <c r="CH35" s="402"/>
      <c r="CI35" s="463"/>
      <c r="CJ35" s="402"/>
      <c r="CK35" s="402"/>
      <c r="CL35" s="402"/>
      <c r="CM35" s="461"/>
      <c r="CN35" s="461"/>
      <c r="CO35" s="461"/>
      <c r="CP35" s="461"/>
      <c r="CQ35" s="402"/>
      <c r="CR35" s="402"/>
      <c r="CS35" s="402"/>
      <c r="CT35" s="402"/>
      <c r="CU35" s="402"/>
      <c r="CV35" s="402"/>
      <c r="CW35" s="402"/>
      <c r="CX35" s="402"/>
      <c r="CY35" s="402"/>
      <c r="CZ35" s="402"/>
      <c r="DA35" s="402"/>
      <c r="DB35" s="402"/>
      <c r="DC35" s="402"/>
      <c r="DD35" s="402"/>
      <c r="DE35" s="402"/>
      <c r="DF35" s="463"/>
      <c r="DG35" s="463"/>
      <c r="DH35" s="402"/>
      <c r="DI35" s="402"/>
      <c r="DJ35" s="402"/>
      <c r="DK35" s="402"/>
      <c r="DL35" s="402"/>
      <c r="DM35" s="402"/>
      <c r="DN35" s="402"/>
      <c r="DO35" s="402"/>
      <c r="DP35" s="402"/>
      <c r="DQ35" s="402"/>
      <c r="DR35" s="402"/>
      <c r="DS35" s="402"/>
      <c r="DT35" s="402"/>
      <c r="DU35" s="402"/>
      <c r="DV35" s="402"/>
      <c r="DW35" s="402"/>
      <c r="DX35" s="402"/>
      <c r="DY35" s="402"/>
      <c r="DZ35" s="402"/>
      <c r="EA35" s="402"/>
      <c r="EB35" s="402"/>
      <c r="EC35" s="402"/>
      <c r="ED35" s="402"/>
      <c r="EE35" s="402"/>
      <c r="EF35" s="402"/>
      <c r="EG35" s="402"/>
      <c r="EH35" s="402"/>
      <c r="EI35" s="402"/>
      <c r="EJ35" s="402"/>
      <c r="EK35" s="402"/>
      <c r="EL35" s="402"/>
      <c r="EM35" s="402"/>
      <c r="EN35" s="402"/>
      <c r="EO35" s="402"/>
      <c r="EP35" s="402"/>
      <c r="EQ35" s="402"/>
      <c r="ER35" s="402"/>
      <c r="ES35" s="402"/>
      <c r="ET35" s="402"/>
      <c r="EU35" s="402"/>
      <c r="EV35" s="402"/>
      <c r="EW35" s="402"/>
      <c r="EX35" s="402"/>
      <c r="EY35" s="402"/>
      <c r="EZ35" s="402"/>
      <c r="FA35" s="402"/>
      <c r="FB35" s="402"/>
      <c r="FC35" s="625"/>
      <c r="FD35" s="402"/>
      <c r="FE35" s="402"/>
      <c r="FF35" s="455"/>
      <c r="FG35" s="402"/>
      <c r="FH35" s="402"/>
      <c r="FI35" s="402"/>
      <c r="FJ35" s="402"/>
      <c r="FK35" s="402"/>
      <c r="FL35" s="403"/>
      <c r="FM35" s="403"/>
      <c r="FN35" s="940"/>
      <c r="FO35" s="402"/>
      <c r="FP35" s="402"/>
      <c r="FQ35" s="402"/>
      <c r="FR35" s="402"/>
      <c r="FS35" s="402"/>
      <c r="FT35" s="402"/>
      <c r="FU35" s="402"/>
      <c r="FV35" s="402"/>
      <c r="FW35" s="462"/>
    </row>
    <row r="36" spans="1:179" s="1200" customFormat="1" ht="15.75" customHeight="1" x14ac:dyDescent="0.2">
      <c r="A36" s="2038"/>
      <c r="B36" s="1196" t="s">
        <v>174</v>
      </c>
      <c r="C36" s="1766">
        <f>план!C75</f>
        <v>263211.33880106924</v>
      </c>
      <c r="D36" s="1247">
        <f>план!D75</f>
        <v>219342.78233422438</v>
      </c>
      <c r="E36" s="1197"/>
      <c r="F36" s="1197"/>
      <c r="G36" s="1197"/>
      <c r="H36" s="1197"/>
      <c r="I36" s="1197"/>
      <c r="J36" s="432"/>
      <c r="K36" s="432"/>
      <c r="L36" s="432">
        <f>Содержание!G8+Содержание!G10</f>
        <v>373.72317262830484</v>
      </c>
      <c r="M36" s="425">
        <f>план!AE75</f>
        <v>22.49813499222395</v>
      </c>
      <c r="N36" s="425"/>
      <c r="O36" s="425"/>
      <c r="P36" s="425"/>
      <c r="Q36" s="425">
        <f>план!AJ75</f>
        <v>87.175568423723035</v>
      </c>
      <c r="R36" s="425"/>
      <c r="S36" s="425"/>
      <c r="T36" s="425">
        <f>план!AM75</f>
        <v>149.220579188648</v>
      </c>
      <c r="U36" s="465"/>
      <c r="V36" s="465"/>
      <c r="W36" s="432">
        <f>Содержание!G9+Содержание!G11</f>
        <v>1.4308146685200733</v>
      </c>
      <c r="X36" s="432"/>
      <c r="Y36" s="432"/>
      <c r="Z36" s="432"/>
      <c r="AA36" s="432"/>
      <c r="AB36" s="432">
        <f>Содержание!G18</f>
        <v>48.591549295774648</v>
      </c>
      <c r="AC36" s="432">
        <f>Содержание!G17+Содержание!G19</f>
        <v>150</v>
      </c>
      <c r="AD36" s="432"/>
      <c r="AE36" s="432">
        <f>Содержание!G15+Содержание!G20</f>
        <v>184.87191672552382</v>
      </c>
      <c r="AF36" s="432">
        <f>план!AU75</f>
        <v>153.33333333333331</v>
      </c>
      <c r="AG36" s="432"/>
      <c r="AH36" s="432"/>
      <c r="AI36" s="432">
        <f>Содержание!G13+Содержание!G16</f>
        <v>23.658374785591764</v>
      </c>
      <c r="AJ36" s="467"/>
      <c r="AK36" s="467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455"/>
      <c r="BC36" s="402"/>
      <c r="BD36" s="399"/>
      <c r="BE36" s="402"/>
      <c r="BF36" s="402"/>
      <c r="BG36" s="399"/>
      <c r="BH36" s="399"/>
      <c r="BI36" s="402"/>
      <c r="BJ36" s="402"/>
      <c r="BK36" s="402"/>
      <c r="BL36" s="402"/>
      <c r="BM36" s="402"/>
      <c r="BN36" s="402"/>
      <c r="BO36" s="402"/>
      <c r="BP36" s="402"/>
      <c r="BQ36" s="402"/>
      <c r="BR36" s="402"/>
      <c r="BS36" s="402"/>
      <c r="BT36" s="402"/>
      <c r="BU36" s="402"/>
      <c r="BV36" s="402"/>
      <c r="BW36" s="402"/>
      <c r="BX36" s="402"/>
      <c r="BY36" s="402"/>
      <c r="BZ36" s="402"/>
      <c r="CA36" s="402"/>
      <c r="CB36" s="402"/>
      <c r="CC36" s="402"/>
      <c r="CD36" s="402"/>
      <c r="CE36" s="402"/>
      <c r="CF36" s="402"/>
      <c r="CG36" s="402"/>
      <c r="CH36" s="402"/>
      <c r="CI36" s="463">
        <f>план!AQ75</f>
        <v>7.4744634525660963E-2</v>
      </c>
      <c r="CJ36" s="402"/>
      <c r="CK36" s="402"/>
      <c r="CL36" s="402"/>
      <c r="CM36" s="461"/>
      <c r="CN36" s="461"/>
      <c r="CO36" s="461"/>
      <c r="CP36" s="461"/>
      <c r="CQ36" s="402"/>
      <c r="CR36" s="402">
        <f>план!CA75+план!CB75</f>
        <v>422.38427999999999</v>
      </c>
      <c r="CS36" s="402"/>
      <c r="CT36" s="402"/>
      <c r="CU36" s="402"/>
      <c r="CV36" s="402"/>
      <c r="CW36" s="402"/>
      <c r="CX36" s="402"/>
      <c r="CY36" s="402"/>
      <c r="CZ36" s="402"/>
      <c r="DA36" s="402"/>
      <c r="DB36" s="402"/>
      <c r="DC36" s="402"/>
      <c r="DD36" s="402"/>
      <c r="DE36" s="402"/>
      <c r="DF36" s="463"/>
      <c r="DG36" s="463"/>
      <c r="DH36" s="402"/>
      <c r="DI36" s="402"/>
      <c r="DJ36" s="402"/>
      <c r="DK36" s="402"/>
      <c r="DL36" s="402"/>
      <c r="DM36" s="402"/>
      <c r="DN36" s="402"/>
      <c r="DO36" s="402"/>
      <c r="DP36" s="402"/>
      <c r="DQ36" s="402"/>
      <c r="DR36" s="402"/>
      <c r="DS36" s="402"/>
      <c r="DT36" s="402"/>
      <c r="DU36" s="402"/>
      <c r="DV36" s="402"/>
      <c r="DW36" s="402"/>
      <c r="DX36" s="402"/>
      <c r="DY36" s="403"/>
      <c r="DZ36" s="467"/>
      <c r="EA36" s="467"/>
      <c r="EB36" s="467"/>
      <c r="EC36" s="467"/>
      <c r="ED36" s="467"/>
      <c r="EE36" s="467"/>
      <c r="EF36" s="467"/>
      <c r="EG36" s="467"/>
      <c r="EH36" s="467"/>
      <c r="EI36" s="467"/>
      <c r="EJ36" s="467"/>
      <c r="EK36" s="467"/>
      <c r="EL36" s="467"/>
      <c r="EM36" s="467"/>
      <c r="EN36" s="467"/>
      <c r="EO36" s="467"/>
      <c r="EP36" s="467"/>
      <c r="EQ36" s="467"/>
      <c r="ER36" s="467"/>
      <c r="ES36" s="467"/>
      <c r="ET36" s="467"/>
      <c r="EU36" s="467"/>
      <c r="EV36" s="467"/>
      <c r="EW36" s="467"/>
      <c r="EX36" s="467"/>
      <c r="EY36" s="467"/>
      <c r="EZ36" s="467"/>
      <c r="FA36" s="467"/>
      <c r="FB36" s="467"/>
      <c r="FC36" s="432"/>
      <c r="FD36" s="467"/>
      <c r="FE36" s="467"/>
      <c r="FF36" s="467"/>
      <c r="FG36" s="467"/>
      <c r="FH36" s="467"/>
      <c r="FI36" s="467"/>
      <c r="FJ36" s="467"/>
      <c r="FK36" s="467"/>
      <c r="FL36" s="403"/>
      <c r="FM36" s="467"/>
      <c r="FN36" s="1198"/>
      <c r="FO36" s="467"/>
      <c r="FP36" s="467"/>
      <c r="FQ36" s="467"/>
      <c r="FR36" s="467"/>
      <c r="FS36" s="467"/>
      <c r="FT36" s="402"/>
      <c r="FU36" s="402"/>
      <c r="FV36" s="402"/>
      <c r="FW36" s="1199"/>
    </row>
    <row r="37" spans="1:179" s="1200" customFormat="1" ht="15.75" hidden="1" customHeight="1" x14ac:dyDescent="0.2">
      <c r="A37" s="2038"/>
      <c r="B37" s="1201" t="s">
        <v>237</v>
      </c>
      <c r="C37" s="453">
        <f>план!C79</f>
        <v>0</v>
      </c>
      <c r="D37" s="1202">
        <f>план!D79</f>
        <v>0</v>
      </c>
      <c r="E37" s="1203"/>
      <c r="F37" s="1203"/>
      <c r="G37" s="1203"/>
      <c r="H37" s="1203"/>
      <c r="I37" s="1203"/>
      <c r="J37" s="1204"/>
      <c r="K37" s="1204"/>
      <c r="L37" s="1204"/>
      <c r="M37" s="1205"/>
      <c r="N37" s="1205"/>
      <c r="O37" s="1205"/>
      <c r="P37" s="1205"/>
      <c r="Q37" s="1205"/>
      <c r="R37" s="1205"/>
      <c r="S37" s="1205"/>
      <c r="T37" s="1205"/>
      <c r="U37" s="1206"/>
      <c r="V37" s="1206"/>
      <c r="W37" s="1204"/>
      <c r="X37" s="1204"/>
      <c r="Y37" s="1204"/>
      <c r="Z37" s="1204"/>
      <c r="AA37" s="1204"/>
      <c r="AB37" s="1204">
        <f>план!BE79</f>
        <v>0</v>
      </c>
      <c r="AC37" s="1204"/>
      <c r="AD37" s="1204"/>
      <c r="AE37" s="1204"/>
      <c r="AF37" s="1204">
        <f>Содержание!G38</f>
        <v>0</v>
      </c>
      <c r="AG37" s="1204"/>
      <c r="AH37" s="1204"/>
      <c r="AI37" s="1204">
        <f>Содержание!G39</f>
        <v>0</v>
      </c>
      <c r="AJ37" s="1160"/>
      <c r="AK37" s="1158"/>
      <c r="AL37" s="1207"/>
      <c r="AM37" s="1207"/>
      <c r="AN37" s="1207"/>
      <c r="AO37" s="1207"/>
      <c r="AP37" s="1207"/>
      <c r="AQ37" s="1207"/>
      <c r="AR37" s="1207"/>
      <c r="AS37" s="1207"/>
      <c r="AT37" s="1207"/>
      <c r="AU37" s="1207"/>
      <c r="AV37" s="1207"/>
      <c r="AW37" s="1207"/>
      <c r="AX37" s="1207"/>
      <c r="AY37" s="1207"/>
      <c r="AZ37" s="1207"/>
      <c r="BA37" s="1207"/>
      <c r="BB37" s="1159"/>
      <c r="BC37" s="1208"/>
      <c r="BD37" s="1207"/>
      <c r="BE37" s="1208"/>
      <c r="BF37" s="1208"/>
      <c r="BG37" s="1207"/>
      <c r="BH37" s="1207"/>
      <c r="BI37" s="1208"/>
      <c r="BJ37" s="1208"/>
      <c r="BK37" s="1208"/>
      <c r="BL37" s="1208"/>
      <c r="BM37" s="1208"/>
      <c r="BN37" s="1208"/>
      <c r="BO37" s="1208"/>
      <c r="BP37" s="1208"/>
      <c r="BQ37" s="1208"/>
      <c r="BR37" s="1208"/>
      <c r="BS37" s="1208"/>
      <c r="BT37" s="1208"/>
      <c r="BU37" s="1208"/>
      <c r="BV37" s="1208"/>
      <c r="BW37" s="1208"/>
      <c r="BX37" s="1208"/>
      <c r="BY37" s="1208"/>
      <c r="BZ37" s="1208"/>
      <c r="CA37" s="1208"/>
      <c r="CB37" s="1208"/>
      <c r="CC37" s="1208"/>
      <c r="CD37" s="1208"/>
      <c r="CE37" s="1208"/>
      <c r="CF37" s="1208"/>
      <c r="CG37" s="1208"/>
      <c r="CH37" s="1208"/>
      <c r="CI37" s="627"/>
      <c r="CJ37" s="1208"/>
      <c r="CK37" s="1208"/>
      <c r="CL37" s="1208"/>
      <c r="CM37" s="1209"/>
      <c r="CN37" s="1209"/>
      <c r="CO37" s="1209"/>
      <c r="CP37" s="1209"/>
      <c r="CQ37" s="1208"/>
      <c r="CR37" s="1208">
        <f>план!CA79+план!CB79</f>
        <v>0</v>
      </c>
      <c r="CS37" s="1208"/>
      <c r="CT37" s="1208"/>
      <c r="CU37" s="1208"/>
      <c r="CV37" s="1208"/>
      <c r="CW37" s="1208"/>
      <c r="CX37" s="1208"/>
      <c r="CY37" s="1208"/>
      <c r="CZ37" s="1208"/>
      <c r="DA37" s="1208"/>
      <c r="DB37" s="1208"/>
      <c r="DC37" s="1208"/>
      <c r="DD37" s="1208"/>
      <c r="DE37" s="1208"/>
      <c r="DF37" s="627"/>
      <c r="DG37" s="627"/>
      <c r="DH37" s="1208"/>
      <c r="DI37" s="1208"/>
      <c r="DJ37" s="1208"/>
      <c r="DK37" s="1208"/>
      <c r="DL37" s="1208"/>
      <c r="DM37" s="1208"/>
      <c r="DN37" s="1208"/>
      <c r="DO37" s="1208"/>
      <c r="DP37" s="1208"/>
      <c r="DQ37" s="1208"/>
      <c r="DR37" s="1208"/>
      <c r="DS37" s="1208"/>
      <c r="DT37" s="1208"/>
      <c r="DU37" s="1208"/>
      <c r="DV37" s="1208"/>
      <c r="DW37" s="1208"/>
      <c r="DX37" s="1208"/>
      <c r="DY37" s="1210"/>
      <c r="DZ37" s="1160"/>
      <c r="EA37" s="1160"/>
      <c r="EB37" s="1160"/>
      <c r="EC37" s="1160"/>
      <c r="ED37" s="1160"/>
      <c r="EE37" s="1160"/>
      <c r="EF37" s="1160"/>
      <c r="EG37" s="1160"/>
      <c r="EH37" s="1160"/>
      <c r="EI37" s="1160"/>
      <c r="EJ37" s="1160"/>
      <c r="EK37" s="1160"/>
      <c r="EL37" s="1160"/>
      <c r="EM37" s="1160"/>
      <c r="EN37" s="1160"/>
      <c r="EO37" s="1160"/>
      <c r="EP37" s="1160"/>
      <c r="EQ37" s="1160"/>
      <c r="ER37" s="1160"/>
      <c r="ES37" s="1160"/>
      <c r="ET37" s="1160"/>
      <c r="EU37" s="1160"/>
      <c r="EV37" s="1160"/>
      <c r="EW37" s="1160"/>
      <c r="EX37" s="1160"/>
      <c r="EY37" s="1160"/>
      <c r="EZ37" s="1160"/>
      <c r="FA37" s="1160"/>
      <c r="FB37" s="1160"/>
      <c r="FC37" s="1204"/>
      <c r="FD37" s="1160"/>
      <c r="FE37" s="1160"/>
      <c r="FF37" s="1160"/>
      <c r="FG37" s="1160"/>
      <c r="FH37" s="1160"/>
      <c r="FI37" s="1160"/>
      <c r="FJ37" s="1160"/>
      <c r="FK37" s="1160"/>
      <c r="FL37" s="1210"/>
      <c r="FM37" s="1160"/>
      <c r="FN37" s="1211"/>
      <c r="FO37" s="1160"/>
      <c r="FP37" s="1160"/>
      <c r="FQ37" s="1160"/>
      <c r="FR37" s="1160"/>
      <c r="FS37" s="1160"/>
      <c r="FT37" s="1208"/>
      <c r="FU37" s="1208"/>
      <c r="FV37" s="1208"/>
      <c r="FW37" s="1199"/>
    </row>
    <row r="38" spans="1:179" s="472" customFormat="1" ht="22.5" customHeight="1" thickBot="1" x14ac:dyDescent="0.3">
      <c r="A38" s="2039"/>
      <c r="B38" s="419" t="s">
        <v>133</v>
      </c>
      <c r="C38" s="470">
        <f>C7+C25+C27+C36+C22</f>
        <v>2649749.9803305338</v>
      </c>
      <c r="D38" s="471">
        <f>D7+D25+D27+D36+D22</f>
        <v>2208124.9836087781</v>
      </c>
      <c r="E38" s="469">
        <f t="shared" ref="E38:AJ38" si="0">SUM(E6:E37)</f>
        <v>9.9503674601232373</v>
      </c>
      <c r="F38" s="469">
        <f t="shared" si="0"/>
        <v>0</v>
      </c>
      <c r="G38" s="469">
        <f t="shared" si="0"/>
        <v>7.6053674601232366</v>
      </c>
      <c r="H38" s="469">
        <f t="shared" si="0"/>
        <v>0</v>
      </c>
      <c r="I38" s="469">
        <f t="shared" si="0"/>
        <v>2.3450000000000002</v>
      </c>
      <c r="J38" s="469">
        <f t="shared" si="0"/>
        <v>0</v>
      </c>
      <c r="K38" s="469">
        <f t="shared" si="0"/>
        <v>0</v>
      </c>
      <c r="L38" s="469">
        <f t="shared" si="0"/>
        <v>7351.0347626283055</v>
      </c>
      <c r="M38" s="469">
        <f t="shared" si="0"/>
        <v>393.09558839222393</v>
      </c>
      <c r="N38" s="469">
        <f t="shared" si="0"/>
        <v>0</v>
      </c>
      <c r="O38" s="469">
        <f t="shared" si="0"/>
        <v>0</v>
      </c>
      <c r="P38" s="469">
        <f t="shared" si="0"/>
        <v>0</v>
      </c>
      <c r="Q38" s="469">
        <f t="shared" si="0"/>
        <v>1381.9027492038651</v>
      </c>
      <c r="R38" s="469">
        <f t="shared" si="0"/>
        <v>968.80380512949637</v>
      </c>
      <c r="S38" s="469">
        <f t="shared" si="0"/>
        <v>0</v>
      </c>
      <c r="T38" s="469">
        <f t="shared" si="0"/>
        <v>2416.487017744204</v>
      </c>
      <c r="U38" s="469">
        <f t="shared" si="0"/>
        <v>0</v>
      </c>
      <c r="V38" s="469">
        <f t="shared" si="0"/>
        <v>0</v>
      </c>
      <c r="W38" s="469">
        <f t="shared" si="0"/>
        <v>6.2468546685200739</v>
      </c>
      <c r="X38" s="469">
        <f t="shared" si="0"/>
        <v>6268.5739999999996</v>
      </c>
      <c r="Y38" s="469">
        <f t="shared" si="0"/>
        <v>662.25239999999985</v>
      </c>
      <c r="Z38" s="469">
        <f t="shared" si="0"/>
        <v>455.79579999999982</v>
      </c>
      <c r="AA38" s="469">
        <f t="shared" si="0"/>
        <v>0</v>
      </c>
      <c r="AB38" s="469">
        <f t="shared" si="0"/>
        <v>48.591549295774648</v>
      </c>
      <c r="AC38" s="469">
        <f t="shared" si="0"/>
        <v>278.35655999999983</v>
      </c>
      <c r="AD38" s="469">
        <f t="shared" si="0"/>
        <v>0</v>
      </c>
      <c r="AE38" s="469">
        <f t="shared" si="0"/>
        <v>660.54595672552477</v>
      </c>
      <c r="AF38" s="469">
        <f t="shared" si="0"/>
        <v>472.27833333333331</v>
      </c>
      <c r="AG38" s="469">
        <f t="shared" si="0"/>
        <v>0</v>
      </c>
      <c r="AH38" s="469">
        <f t="shared" si="0"/>
        <v>0</v>
      </c>
      <c r="AI38" s="469">
        <f t="shared" si="0"/>
        <v>23.658374785591764</v>
      </c>
      <c r="AJ38" s="469">
        <f t="shared" si="0"/>
        <v>2064.7420000000002</v>
      </c>
      <c r="AK38" s="469">
        <f t="shared" ref="AK38:BP38" si="1">SUM(AK6:AK37)</f>
        <v>0</v>
      </c>
      <c r="AL38" s="469">
        <f t="shared" si="1"/>
        <v>0</v>
      </c>
      <c r="AM38" s="469">
        <f t="shared" si="1"/>
        <v>0</v>
      </c>
      <c r="AN38" s="469">
        <f t="shared" si="1"/>
        <v>0</v>
      </c>
      <c r="AO38" s="622">
        <f t="shared" si="1"/>
        <v>753</v>
      </c>
      <c r="AP38" s="469">
        <f t="shared" si="1"/>
        <v>0</v>
      </c>
      <c r="AQ38" s="469">
        <f t="shared" si="1"/>
        <v>0</v>
      </c>
      <c r="AR38" s="469">
        <f t="shared" si="1"/>
        <v>0</v>
      </c>
      <c r="AS38" s="469">
        <f t="shared" si="1"/>
        <v>0</v>
      </c>
      <c r="AT38" s="469">
        <f t="shared" si="1"/>
        <v>0</v>
      </c>
      <c r="AU38" s="469">
        <f t="shared" si="1"/>
        <v>0</v>
      </c>
      <c r="AV38" s="469">
        <f t="shared" si="1"/>
        <v>0</v>
      </c>
      <c r="AW38" s="469">
        <f t="shared" si="1"/>
        <v>0</v>
      </c>
      <c r="AX38" s="469">
        <f t="shared" si="1"/>
        <v>0</v>
      </c>
      <c r="AY38" s="469">
        <f t="shared" si="1"/>
        <v>0</v>
      </c>
      <c r="AZ38" s="469">
        <f t="shared" si="1"/>
        <v>0</v>
      </c>
      <c r="BA38" s="469">
        <f t="shared" si="1"/>
        <v>0</v>
      </c>
      <c r="BB38" s="469">
        <f t="shared" si="1"/>
        <v>0</v>
      </c>
      <c r="BC38" s="469">
        <f t="shared" si="1"/>
        <v>0</v>
      </c>
      <c r="BD38" s="469">
        <f t="shared" si="1"/>
        <v>73.73</v>
      </c>
      <c r="BE38" s="469">
        <f t="shared" si="1"/>
        <v>0</v>
      </c>
      <c r="BF38" s="469">
        <f t="shared" si="1"/>
        <v>0</v>
      </c>
      <c r="BG38" s="469">
        <f t="shared" si="1"/>
        <v>0</v>
      </c>
      <c r="BH38" s="469">
        <f t="shared" si="1"/>
        <v>0</v>
      </c>
      <c r="BI38" s="469">
        <f t="shared" si="1"/>
        <v>0</v>
      </c>
      <c r="BJ38" s="469">
        <f t="shared" si="1"/>
        <v>0</v>
      </c>
      <c r="BK38" s="469">
        <f t="shared" si="1"/>
        <v>0</v>
      </c>
      <c r="BL38" s="469">
        <f t="shared" si="1"/>
        <v>0</v>
      </c>
      <c r="BM38" s="469">
        <f t="shared" si="1"/>
        <v>0</v>
      </c>
      <c r="BN38" s="469">
        <f t="shared" si="1"/>
        <v>8274</v>
      </c>
      <c r="BO38" s="469">
        <f t="shared" si="1"/>
        <v>0</v>
      </c>
      <c r="BP38" s="469">
        <f t="shared" si="1"/>
        <v>0</v>
      </c>
      <c r="BQ38" s="469">
        <f t="shared" ref="BQ38:CV38" si="2">SUM(BQ6:BQ37)</f>
        <v>0</v>
      </c>
      <c r="BR38" s="469">
        <f t="shared" si="2"/>
        <v>0</v>
      </c>
      <c r="BS38" s="469">
        <f t="shared" si="2"/>
        <v>0</v>
      </c>
      <c r="BT38" s="469">
        <f t="shared" si="2"/>
        <v>0</v>
      </c>
      <c r="BU38" s="469">
        <f t="shared" si="2"/>
        <v>0</v>
      </c>
      <c r="BV38" s="469">
        <f t="shared" si="2"/>
        <v>0</v>
      </c>
      <c r="BW38" s="469">
        <f t="shared" si="2"/>
        <v>0</v>
      </c>
      <c r="BX38" s="469">
        <f t="shared" si="2"/>
        <v>0</v>
      </c>
      <c r="BY38" s="469">
        <f t="shared" si="2"/>
        <v>0</v>
      </c>
      <c r="BZ38" s="469">
        <f t="shared" si="2"/>
        <v>0</v>
      </c>
      <c r="CA38" s="469">
        <f t="shared" si="2"/>
        <v>0</v>
      </c>
      <c r="CB38" s="469">
        <f t="shared" si="2"/>
        <v>0</v>
      </c>
      <c r="CC38" s="469">
        <f t="shared" si="2"/>
        <v>0</v>
      </c>
      <c r="CD38" s="469">
        <f t="shared" si="2"/>
        <v>0</v>
      </c>
      <c r="CE38" s="469">
        <f t="shared" si="2"/>
        <v>0</v>
      </c>
      <c r="CF38" s="469">
        <f t="shared" si="2"/>
        <v>0</v>
      </c>
      <c r="CG38" s="469">
        <f t="shared" si="2"/>
        <v>0</v>
      </c>
      <c r="CH38" s="469">
        <f t="shared" si="2"/>
        <v>0</v>
      </c>
      <c r="CI38" s="469">
        <f t="shared" si="2"/>
        <v>0.50007603452566096</v>
      </c>
      <c r="CJ38" s="469">
        <f t="shared" si="2"/>
        <v>0</v>
      </c>
      <c r="CK38" s="469">
        <f t="shared" si="2"/>
        <v>0</v>
      </c>
      <c r="CL38" s="469">
        <f t="shared" si="2"/>
        <v>0</v>
      </c>
      <c r="CM38" s="469">
        <f t="shared" si="2"/>
        <v>0</v>
      </c>
      <c r="CN38" s="469">
        <f t="shared" si="2"/>
        <v>0</v>
      </c>
      <c r="CO38" s="469">
        <f t="shared" si="2"/>
        <v>0</v>
      </c>
      <c r="CP38" s="469">
        <f t="shared" si="2"/>
        <v>0</v>
      </c>
      <c r="CQ38" s="469">
        <f t="shared" si="2"/>
        <v>0</v>
      </c>
      <c r="CR38" s="622">
        <f t="shared" si="2"/>
        <v>4840.3097560000006</v>
      </c>
      <c r="CS38" s="469">
        <f t="shared" si="2"/>
        <v>0</v>
      </c>
      <c r="CT38" s="469">
        <f t="shared" si="2"/>
        <v>21</v>
      </c>
      <c r="CU38" s="469">
        <f t="shared" si="2"/>
        <v>1</v>
      </c>
      <c r="CV38" s="469">
        <f t="shared" si="2"/>
        <v>0</v>
      </c>
      <c r="CW38" s="469">
        <f t="shared" ref="CW38:EB38" si="3">SUM(CW6:CW37)</f>
        <v>0</v>
      </c>
      <c r="CX38" s="469">
        <f t="shared" si="3"/>
        <v>0</v>
      </c>
      <c r="CY38" s="469">
        <f t="shared" si="3"/>
        <v>0</v>
      </c>
      <c r="CZ38" s="469">
        <f t="shared" si="3"/>
        <v>21</v>
      </c>
      <c r="DA38" s="469">
        <f t="shared" si="3"/>
        <v>1</v>
      </c>
      <c r="DB38" s="469">
        <f t="shared" si="3"/>
        <v>11</v>
      </c>
      <c r="DC38" s="469">
        <f t="shared" si="3"/>
        <v>0</v>
      </c>
      <c r="DD38" s="469">
        <f t="shared" si="3"/>
        <v>0</v>
      </c>
      <c r="DE38" s="469">
        <f t="shared" si="3"/>
        <v>0</v>
      </c>
      <c r="DF38" s="628">
        <f t="shared" si="3"/>
        <v>0</v>
      </c>
      <c r="DG38" s="628">
        <f t="shared" si="3"/>
        <v>5.5300000000000002E-2</v>
      </c>
      <c r="DH38" s="469">
        <f t="shared" si="3"/>
        <v>0</v>
      </c>
      <c r="DI38" s="469">
        <f t="shared" si="3"/>
        <v>0</v>
      </c>
      <c r="DJ38" s="469">
        <f t="shared" si="3"/>
        <v>0</v>
      </c>
      <c r="DK38" s="469">
        <f t="shared" si="3"/>
        <v>0</v>
      </c>
      <c r="DL38" s="469">
        <f t="shared" si="3"/>
        <v>0</v>
      </c>
      <c r="DM38" s="469">
        <f t="shared" si="3"/>
        <v>0</v>
      </c>
      <c r="DN38" s="469">
        <f t="shared" si="3"/>
        <v>1</v>
      </c>
      <c r="DO38" s="469">
        <f t="shared" si="3"/>
        <v>0</v>
      </c>
      <c r="DP38" s="469">
        <f t="shared" si="3"/>
        <v>0</v>
      </c>
      <c r="DQ38" s="469">
        <f t="shared" si="3"/>
        <v>11</v>
      </c>
      <c r="DR38" s="469">
        <f t="shared" si="3"/>
        <v>0</v>
      </c>
      <c r="DS38" s="469">
        <f t="shared" si="3"/>
        <v>0</v>
      </c>
      <c r="DT38" s="469">
        <f t="shared" si="3"/>
        <v>0</v>
      </c>
      <c r="DU38" s="469">
        <f t="shared" si="3"/>
        <v>0</v>
      </c>
      <c r="DV38" s="469">
        <f t="shared" si="3"/>
        <v>0</v>
      </c>
      <c r="DW38" s="469">
        <f t="shared" si="3"/>
        <v>0</v>
      </c>
      <c r="DX38" s="469">
        <f t="shared" si="3"/>
        <v>0</v>
      </c>
      <c r="DY38" s="469">
        <f t="shared" si="3"/>
        <v>0</v>
      </c>
      <c r="DZ38" s="469">
        <f t="shared" si="3"/>
        <v>0</v>
      </c>
      <c r="EA38" s="469">
        <f t="shared" si="3"/>
        <v>0</v>
      </c>
      <c r="EB38" s="469">
        <f t="shared" si="3"/>
        <v>0</v>
      </c>
      <c r="EC38" s="469">
        <f t="shared" ref="EC38:FH38" si="4">SUM(EC6:EC37)</f>
        <v>0</v>
      </c>
      <c r="ED38" s="469">
        <f t="shared" si="4"/>
        <v>0</v>
      </c>
      <c r="EE38" s="469">
        <f t="shared" si="4"/>
        <v>0</v>
      </c>
      <c r="EF38" s="469">
        <f t="shared" si="4"/>
        <v>0</v>
      </c>
      <c r="EG38" s="469">
        <f t="shared" si="4"/>
        <v>423</v>
      </c>
      <c r="EH38" s="469">
        <f t="shared" si="4"/>
        <v>0</v>
      </c>
      <c r="EI38" s="469">
        <f t="shared" si="4"/>
        <v>8.3199999999999996E-2</v>
      </c>
      <c r="EJ38" s="469">
        <f t="shared" si="4"/>
        <v>0</v>
      </c>
      <c r="EK38" s="469">
        <f t="shared" si="4"/>
        <v>0</v>
      </c>
      <c r="EL38" s="469">
        <f t="shared" si="4"/>
        <v>0</v>
      </c>
      <c r="EM38" s="469">
        <f t="shared" si="4"/>
        <v>0</v>
      </c>
      <c r="EN38" s="469">
        <f t="shared" si="4"/>
        <v>0</v>
      </c>
      <c r="EO38" s="469">
        <f t="shared" si="4"/>
        <v>0</v>
      </c>
      <c r="EP38" s="469">
        <f t="shared" si="4"/>
        <v>0</v>
      </c>
      <c r="EQ38" s="469">
        <f t="shared" si="4"/>
        <v>0</v>
      </c>
      <c r="ER38" s="469">
        <f t="shared" si="4"/>
        <v>0</v>
      </c>
      <c r="ES38" s="469">
        <f t="shared" si="4"/>
        <v>0</v>
      </c>
      <c r="ET38" s="469">
        <f t="shared" si="4"/>
        <v>1</v>
      </c>
      <c r="EU38" s="469">
        <f t="shared" si="4"/>
        <v>20</v>
      </c>
      <c r="EV38" s="469">
        <f t="shared" si="4"/>
        <v>0</v>
      </c>
      <c r="EW38" s="469">
        <f t="shared" si="4"/>
        <v>0</v>
      </c>
      <c r="EX38" s="469">
        <f t="shared" si="4"/>
        <v>0</v>
      </c>
      <c r="EY38" s="469">
        <f t="shared" si="4"/>
        <v>0</v>
      </c>
      <c r="EZ38" s="469">
        <f t="shared" si="4"/>
        <v>0</v>
      </c>
      <c r="FA38" s="469">
        <f t="shared" si="4"/>
        <v>0</v>
      </c>
      <c r="FB38" s="469">
        <f t="shared" si="4"/>
        <v>0</v>
      </c>
      <c r="FC38" s="469">
        <f t="shared" si="4"/>
        <v>0</v>
      </c>
      <c r="FD38" s="469">
        <f t="shared" si="4"/>
        <v>0</v>
      </c>
      <c r="FE38" s="469">
        <f t="shared" si="4"/>
        <v>0</v>
      </c>
      <c r="FF38" s="469">
        <f t="shared" si="4"/>
        <v>0</v>
      </c>
      <c r="FG38" s="469">
        <f t="shared" si="4"/>
        <v>0</v>
      </c>
      <c r="FH38" s="469">
        <f t="shared" si="4"/>
        <v>17</v>
      </c>
      <c r="FI38" s="469">
        <f t="shared" ref="FI38:FT38" si="5">SUM(FI6:FI37)</f>
        <v>0</v>
      </c>
      <c r="FJ38" s="469">
        <f t="shared" si="5"/>
        <v>0</v>
      </c>
      <c r="FK38" s="469">
        <f t="shared" si="5"/>
        <v>0</v>
      </c>
      <c r="FL38" s="469">
        <f t="shared" si="5"/>
        <v>0</v>
      </c>
      <c r="FM38" s="469">
        <f t="shared" si="5"/>
        <v>0</v>
      </c>
      <c r="FN38" s="942">
        <f t="shared" si="5"/>
        <v>0</v>
      </c>
      <c r="FO38" s="469">
        <f t="shared" si="5"/>
        <v>0</v>
      </c>
      <c r="FP38" s="469">
        <f t="shared" si="5"/>
        <v>0</v>
      </c>
      <c r="FQ38" s="469">
        <f t="shared" si="5"/>
        <v>18</v>
      </c>
      <c r="FR38" s="469">
        <f t="shared" si="5"/>
        <v>0</v>
      </c>
      <c r="FS38" s="469">
        <f t="shared" si="5"/>
        <v>0</v>
      </c>
      <c r="FT38" s="469">
        <f t="shared" si="5"/>
        <v>2</v>
      </c>
      <c r="FU38" s="469">
        <f t="shared" ref="FU38:FV38" si="6">SUM(FU6:FU37)</f>
        <v>9</v>
      </c>
      <c r="FV38" s="469">
        <f t="shared" si="6"/>
        <v>1</v>
      </c>
    </row>
    <row r="39" spans="1:179" s="7" customFormat="1" ht="5.25" customHeight="1" x14ac:dyDescent="0.25">
      <c r="A39" s="2104"/>
      <c r="B39" s="2105"/>
      <c r="C39" s="2105"/>
      <c r="D39" s="2105"/>
      <c r="E39" s="2105"/>
      <c r="F39" s="2105"/>
      <c r="G39" s="2105"/>
      <c r="H39" s="2105"/>
      <c r="I39" s="2105"/>
      <c r="J39" s="2105"/>
      <c r="K39" s="2105"/>
      <c r="L39" s="2105"/>
      <c r="M39" s="2105"/>
      <c r="N39" s="2105"/>
      <c r="O39" s="2105"/>
      <c r="P39" s="2105"/>
      <c r="Q39" s="2105"/>
      <c r="R39" s="2105"/>
      <c r="S39" s="2105"/>
      <c r="T39" s="2105"/>
      <c r="U39" s="2105"/>
      <c r="V39" s="2105"/>
      <c r="W39" s="2105"/>
      <c r="X39" s="2105"/>
      <c r="Y39" s="2105"/>
      <c r="Z39" s="2105"/>
      <c r="AA39" s="2105"/>
      <c r="AB39" s="2105"/>
      <c r="AC39" s="2105"/>
      <c r="AD39" s="2105"/>
      <c r="AE39" s="2105"/>
      <c r="AF39" s="2105"/>
      <c r="AG39" s="2105"/>
      <c r="AH39" s="2105"/>
      <c r="AI39" s="2105"/>
      <c r="AJ39" s="2105"/>
      <c r="AK39" s="2105"/>
      <c r="AL39" s="2105"/>
      <c r="AM39" s="2105"/>
      <c r="AN39" s="2105"/>
      <c r="AO39" s="2105"/>
      <c r="AP39" s="2105"/>
      <c r="AQ39" s="2105"/>
      <c r="AR39" s="2105"/>
      <c r="AS39" s="2105"/>
      <c r="AT39" s="2105"/>
      <c r="AU39" s="2105"/>
      <c r="AV39" s="2105"/>
      <c r="AW39" s="2105"/>
      <c r="AX39" s="2105"/>
      <c r="AY39" s="2105"/>
      <c r="AZ39" s="2105"/>
      <c r="BA39" s="2105"/>
      <c r="BB39" s="2105"/>
      <c r="BC39" s="2105"/>
      <c r="BD39" s="2105"/>
      <c r="BE39" s="2105"/>
      <c r="BF39" s="2105"/>
      <c r="BG39" s="2105"/>
      <c r="BH39" s="2105"/>
      <c r="BI39" s="2105"/>
      <c r="BJ39" s="2105"/>
      <c r="BK39" s="2105"/>
      <c r="BL39" s="2105"/>
      <c r="CI39" s="115"/>
    </row>
    <row r="40" spans="1:179" s="6" customFormat="1" ht="13.5" customHeight="1" x14ac:dyDescent="0.2">
      <c r="A40" s="3"/>
      <c r="B40" s="8"/>
      <c r="C40" s="9"/>
      <c r="D40" s="9"/>
      <c r="E40" s="10"/>
      <c r="F40" s="10"/>
      <c r="G40" s="10"/>
      <c r="H40" s="10"/>
      <c r="I40" s="10"/>
      <c r="J40" s="10"/>
      <c r="K40" s="10"/>
      <c r="L40" s="433"/>
      <c r="M40" s="433"/>
      <c r="N40" s="433"/>
      <c r="O40" s="433"/>
      <c r="P40" s="433"/>
      <c r="Q40" s="433"/>
      <c r="R40" s="433"/>
      <c r="S40" s="433"/>
      <c r="T40" s="447"/>
      <c r="U40" s="433"/>
      <c r="V40" s="433"/>
      <c r="W40" s="433"/>
      <c r="X40" s="433"/>
      <c r="Y40" s="433"/>
      <c r="Z40" s="433"/>
      <c r="AA40" s="433"/>
      <c r="AB40" s="433"/>
      <c r="AC40" s="433"/>
      <c r="AD40" s="433"/>
      <c r="AE40" s="433"/>
      <c r="AF40" s="433"/>
      <c r="AG40" s="433"/>
      <c r="AH40" s="433"/>
      <c r="AI40" s="433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437"/>
      <c r="BL40" s="437"/>
      <c r="BM40" s="11"/>
      <c r="CI40" s="445"/>
    </row>
    <row r="41" spans="1:179" s="6" customFormat="1" ht="15" customHeight="1" x14ac:dyDescent="0.2">
      <c r="A41" s="3"/>
      <c r="B41" s="8"/>
      <c r="C41" s="9"/>
      <c r="D41" s="9"/>
      <c r="E41" s="10"/>
      <c r="F41" s="10"/>
      <c r="G41" s="10"/>
      <c r="H41" s="10"/>
      <c r="I41" s="10"/>
      <c r="J41" s="10"/>
      <c r="K41" s="10"/>
      <c r="L41" s="433"/>
      <c r="M41" s="433"/>
      <c r="N41" s="433"/>
      <c r="O41" s="433"/>
      <c r="P41" s="433"/>
      <c r="Q41" s="433"/>
      <c r="R41" s="433"/>
      <c r="S41" s="433"/>
      <c r="T41" s="447"/>
      <c r="U41" s="433"/>
      <c r="V41" s="433"/>
      <c r="W41" s="433"/>
      <c r="X41" s="433"/>
      <c r="Y41" s="433"/>
      <c r="Z41" s="433"/>
      <c r="AA41" s="433"/>
      <c r="AB41" s="433"/>
      <c r="AC41" s="433"/>
      <c r="AD41" s="433"/>
      <c r="AE41" s="433"/>
      <c r="AF41" s="433"/>
      <c r="AG41" s="433"/>
      <c r="AH41" s="433"/>
      <c r="AI41" s="433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437"/>
      <c r="BL41" s="437"/>
      <c r="BM41" s="11"/>
      <c r="CI41" s="445"/>
    </row>
    <row r="42" spans="1:179" s="6" customFormat="1" ht="15" x14ac:dyDescent="0.2">
      <c r="A42" s="3"/>
      <c r="B42" s="8"/>
      <c r="C42" s="252"/>
      <c r="D42" s="9"/>
      <c r="E42" s="12"/>
      <c r="F42" s="12"/>
      <c r="G42" s="12"/>
      <c r="H42" s="12"/>
      <c r="I42" s="12"/>
      <c r="J42" s="12"/>
      <c r="K42" s="12"/>
      <c r="L42" s="433"/>
      <c r="M42" s="433"/>
      <c r="N42" s="433"/>
      <c r="O42" s="433"/>
      <c r="P42" s="433"/>
      <c r="Q42" s="433"/>
      <c r="R42" s="433"/>
      <c r="S42" s="433"/>
      <c r="T42" s="447"/>
      <c r="U42" s="433"/>
      <c r="V42" s="433"/>
      <c r="W42" s="433"/>
      <c r="X42" s="433"/>
      <c r="Y42" s="433"/>
      <c r="Z42" s="433"/>
      <c r="AA42" s="433"/>
      <c r="AB42" s="433"/>
      <c r="AC42" s="433"/>
      <c r="AD42" s="433"/>
      <c r="AE42" s="433"/>
      <c r="AF42" s="433"/>
      <c r="AG42" s="433"/>
      <c r="AH42" s="433"/>
      <c r="AI42" s="433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437"/>
      <c r="BL42" s="437"/>
      <c r="BM42" s="11"/>
      <c r="CI42" s="445"/>
    </row>
    <row r="43" spans="1:179" s="6" customFormat="1" ht="15" x14ac:dyDescent="0.2">
      <c r="A43" s="3"/>
      <c r="B43" s="8"/>
      <c r="C43" s="9"/>
      <c r="D43" s="9"/>
      <c r="E43" s="10"/>
      <c r="F43" s="10"/>
      <c r="G43" s="10"/>
      <c r="H43" s="10"/>
      <c r="I43" s="10"/>
      <c r="J43" s="10"/>
      <c r="K43" s="10"/>
      <c r="L43" s="433"/>
      <c r="M43" s="433"/>
      <c r="N43" s="433"/>
      <c r="O43" s="433"/>
      <c r="P43" s="433"/>
      <c r="Q43" s="433"/>
      <c r="R43" s="433"/>
      <c r="S43" s="433"/>
      <c r="T43" s="447"/>
      <c r="U43" s="433"/>
      <c r="V43" s="433"/>
      <c r="W43" s="433"/>
      <c r="X43" s="433"/>
      <c r="Y43" s="433"/>
      <c r="Z43" s="433"/>
      <c r="AA43" s="433"/>
      <c r="AB43" s="433"/>
      <c r="AC43" s="433"/>
      <c r="AD43" s="433"/>
      <c r="AE43" s="433"/>
      <c r="AF43" s="433"/>
      <c r="AG43" s="433"/>
      <c r="AH43" s="433"/>
      <c r="AI43" s="433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437"/>
      <c r="BL43" s="437"/>
      <c r="BM43" s="11"/>
      <c r="CI43" s="445"/>
    </row>
    <row r="44" spans="1:179" s="6" customFormat="1" ht="15" x14ac:dyDescent="0.2">
      <c r="A44" s="3"/>
      <c r="B44" s="8"/>
      <c r="C44" s="9"/>
      <c r="D44" s="9"/>
      <c r="E44" s="10"/>
      <c r="F44" s="10"/>
      <c r="G44" s="10"/>
      <c r="H44" s="10"/>
      <c r="I44" s="10"/>
      <c r="J44" s="10"/>
      <c r="K44" s="10"/>
      <c r="L44" s="433"/>
      <c r="M44" s="433"/>
      <c r="N44" s="433"/>
      <c r="O44" s="433"/>
      <c r="P44" s="433"/>
      <c r="Q44" s="433"/>
      <c r="R44" s="433"/>
      <c r="S44" s="433"/>
      <c r="T44" s="447"/>
      <c r="U44" s="433"/>
      <c r="V44" s="433"/>
      <c r="W44" s="433"/>
      <c r="X44" s="433"/>
      <c r="Y44" s="433"/>
      <c r="Z44" s="433"/>
      <c r="AA44" s="433"/>
      <c r="AB44" s="433"/>
      <c r="AC44" s="433"/>
      <c r="AD44" s="433"/>
      <c r="AE44" s="433"/>
      <c r="AF44" s="433"/>
      <c r="AG44" s="433"/>
      <c r="AH44" s="433"/>
      <c r="AI44" s="433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437"/>
      <c r="BL44" s="437"/>
      <c r="BM44" s="11"/>
      <c r="CI44" s="445"/>
    </row>
    <row r="45" spans="1:179" s="6" customFormat="1" ht="15" x14ac:dyDescent="0.2">
      <c r="A45" s="3"/>
      <c r="B45" s="8"/>
      <c r="C45" s="9"/>
      <c r="D45" s="9"/>
      <c r="E45" s="10"/>
      <c r="F45" s="10"/>
      <c r="G45" s="10"/>
      <c r="H45" s="10"/>
      <c r="I45" s="10"/>
      <c r="J45" s="10"/>
      <c r="K45" s="10"/>
      <c r="L45" s="433"/>
      <c r="M45" s="433"/>
      <c r="N45" s="433"/>
      <c r="O45" s="433"/>
      <c r="P45" s="433"/>
      <c r="Q45" s="433"/>
      <c r="R45" s="433"/>
      <c r="S45" s="433"/>
      <c r="T45" s="447"/>
      <c r="U45" s="433"/>
      <c r="V45" s="433"/>
      <c r="W45" s="433"/>
      <c r="X45" s="433"/>
      <c r="Y45" s="433"/>
      <c r="Z45" s="433"/>
      <c r="AA45" s="433"/>
      <c r="AB45" s="433"/>
      <c r="AC45" s="433"/>
      <c r="AD45" s="433"/>
      <c r="AE45" s="433"/>
      <c r="AF45" s="433"/>
      <c r="AG45" s="433"/>
      <c r="AH45" s="433"/>
      <c r="AI45" s="433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437"/>
      <c r="BL45" s="437"/>
      <c r="BM45" s="11"/>
      <c r="CI45" s="445"/>
    </row>
    <row r="46" spans="1:179" s="6" customFormat="1" ht="15" x14ac:dyDescent="0.2">
      <c r="B46" s="13"/>
      <c r="C46" s="9"/>
      <c r="D46" s="9"/>
      <c r="E46" s="10"/>
      <c r="F46" s="10"/>
      <c r="G46" s="10"/>
      <c r="H46" s="10"/>
      <c r="I46" s="10"/>
      <c r="J46" s="10"/>
      <c r="K46" s="10"/>
      <c r="L46" s="433"/>
      <c r="M46" s="433"/>
      <c r="N46" s="433"/>
      <c r="O46" s="433"/>
      <c r="P46" s="433"/>
      <c r="Q46" s="433"/>
      <c r="R46" s="433"/>
      <c r="S46" s="433"/>
      <c r="T46" s="447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3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437"/>
      <c r="BL46" s="437"/>
      <c r="BM46" s="11"/>
      <c r="CI46" s="445"/>
    </row>
    <row r="47" spans="1:179" s="6" customFormat="1" ht="15" x14ac:dyDescent="0.2">
      <c r="B47" s="8"/>
      <c r="C47" s="9"/>
      <c r="D47" s="9"/>
      <c r="E47" s="12"/>
      <c r="F47" s="12"/>
      <c r="G47" s="12"/>
      <c r="H47" s="12"/>
      <c r="I47" s="12"/>
      <c r="J47" s="12"/>
      <c r="K47" s="12"/>
      <c r="L47" s="433"/>
      <c r="M47" s="433"/>
      <c r="N47" s="433"/>
      <c r="O47" s="433"/>
      <c r="P47" s="433"/>
      <c r="Q47" s="433"/>
      <c r="R47" s="433"/>
      <c r="S47" s="433"/>
      <c r="T47" s="447"/>
      <c r="U47" s="433"/>
      <c r="V47" s="433"/>
      <c r="W47" s="433"/>
      <c r="X47" s="433"/>
      <c r="Y47" s="433"/>
      <c r="Z47" s="433"/>
      <c r="AA47" s="433"/>
      <c r="AB47" s="433"/>
      <c r="AC47" s="433"/>
      <c r="AD47" s="433"/>
      <c r="AE47" s="433"/>
      <c r="AF47" s="433"/>
      <c r="AG47" s="433"/>
      <c r="AH47" s="433"/>
      <c r="AI47" s="433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437"/>
      <c r="BL47" s="437"/>
      <c r="BM47" s="11"/>
      <c r="CI47" s="445"/>
    </row>
    <row r="48" spans="1:179" s="6" customFormat="1" ht="15" x14ac:dyDescent="0.2">
      <c r="B48" s="8"/>
      <c r="C48" s="9"/>
      <c r="D48" s="9"/>
      <c r="E48" s="10"/>
      <c r="F48" s="10"/>
      <c r="G48" s="10"/>
      <c r="H48" s="10"/>
      <c r="I48" s="10"/>
      <c r="J48" s="10"/>
      <c r="K48" s="10"/>
      <c r="L48" s="433"/>
      <c r="M48" s="433"/>
      <c r="N48" s="433"/>
      <c r="O48" s="433"/>
      <c r="P48" s="433"/>
      <c r="Q48" s="433"/>
      <c r="R48" s="433"/>
      <c r="S48" s="433"/>
      <c r="T48" s="447"/>
      <c r="U48" s="433"/>
      <c r="V48" s="433"/>
      <c r="W48" s="433"/>
      <c r="X48" s="433"/>
      <c r="Y48" s="433"/>
      <c r="Z48" s="433"/>
      <c r="AA48" s="433"/>
      <c r="AB48" s="433"/>
      <c r="AC48" s="433"/>
      <c r="AD48" s="433"/>
      <c r="AE48" s="433"/>
      <c r="AF48" s="433"/>
      <c r="AG48" s="433"/>
      <c r="AH48" s="433"/>
      <c r="AI48" s="433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437"/>
      <c r="BL48" s="437"/>
      <c r="BM48" s="11"/>
      <c r="CI48" s="445"/>
    </row>
    <row r="49" spans="1:87" s="6" customFormat="1" ht="15" x14ac:dyDescent="0.2">
      <c r="B49" s="8"/>
      <c r="C49" s="9"/>
      <c r="D49" s="9"/>
      <c r="E49" s="10"/>
      <c r="F49" s="10"/>
      <c r="G49" s="10"/>
      <c r="H49" s="10"/>
      <c r="I49" s="10"/>
      <c r="J49" s="10"/>
      <c r="K49" s="10"/>
      <c r="L49" s="433"/>
      <c r="M49" s="433"/>
      <c r="N49" s="433"/>
      <c r="O49" s="433"/>
      <c r="P49" s="433"/>
      <c r="Q49" s="433"/>
      <c r="R49" s="433"/>
      <c r="S49" s="433"/>
      <c r="T49" s="447"/>
      <c r="U49" s="433"/>
      <c r="V49" s="433"/>
      <c r="W49" s="433"/>
      <c r="X49" s="433"/>
      <c r="Y49" s="433"/>
      <c r="Z49" s="433"/>
      <c r="AA49" s="433"/>
      <c r="AB49" s="433"/>
      <c r="AC49" s="433"/>
      <c r="AD49" s="433"/>
      <c r="AE49" s="433"/>
      <c r="AF49" s="433"/>
      <c r="AG49" s="433"/>
      <c r="AH49" s="433"/>
      <c r="AI49" s="433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437"/>
      <c r="BL49" s="437"/>
      <c r="BM49" s="11"/>
      <c r="CI49" s="445"/>
    </row>
    <row r="50" spans="1:87" s="6" customFormat="1" ht="15" x14ac:dyDescent="0.2">
      <c r="B50" s="8"/>
      <c r="C50" s="9"/>
      <c r="D50" s="9"/>
      <c r="E50" s="10"/>
      <c r="F50" s="10"/>
      <c r="G50" s="10"/>
      <c r="H50" s="10"/>
      <c r="I50" s="10"/>
      <c r="J50" s="10"/>
      <c r="K50" s="10"/>
      <c r="L50" s="433"/>
      <c r="M50" s="433"/>
      <c r="N50" s="433"/>
      <c r="O50" s="433"/>
      <c r="P50" s="433"/>
      <c r="Q50" s="433"/>
      <c r="R50" s="433"/>
      <c r="S50" s="433"/>
      <c r="T50" s="447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437"/>
      <c r="BL50" s="437"/>
      <c r="BM50" s="11"/>
      <c r="CI50" s="445"/>
    </row>
    <row r="51" spans="1:87" s="14" customFormat="1" x14ac:dyDescent="0.25">
      <c r="A51" s="6"/>
      <c r="B51" s="13"/>
      <c r="C51" s="9"/>
      <c r="D51" s="9"/>
      <c r="E51" s="10"/>
      <c r="F51" s="10"/>
      <c r="G51" s="10"/>
      <c r="H51" s="10"/>
      <c r="I51" s="10"/>
      <c r="J51" s="10"/>
      <c r="K51" s="10"/>
      <c r="L51" s="433"/>
      <c r="M51" s="433"/>
      <c r="N51" s="433"/>
      <c r="O51" s="433"/>
      <c r="P51" s="433"/>
      <c r="Q51" s="433"/>
      <c r="R51" s="433"/>
      <c r="S51" s="433"/>
      <c r="T51" s="447"/>
      <c r="U51" s="433"/>
      <c r="V51" s="433"/>
      <c r="W51" s="433"/>
      <c r="X51" s="433"/>
      <c r="Y51" s="433"/>
      <c r="Z51" s="433"/>
      <c r="AA51" s="433"/>
      <c r="AB51" s="433"/>
      <c r="AC51" s="433"/>
      <c r="AD51" s="433"/>
      <c r="AE51" s="433"/>
      <c r="AF51" s="433"/>
      <c r="AG51" s="433"/>
      <c r="AH51" s="433"/>
      <c r="AI51" s="433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437"/>
      <c r="BL51" s="437"/>
      <c r="BM51" s="11"/>
      <c r="BN51" s="6"/>
      <c r="BO51" s="6"/>
      <c r="BP51" s="6"/>
      <c r="BQ51" s="6"/>
      <c r="BR51" s="6"/>
      <c r="BS51" s="6"/>
      <c r="BT51" s="6"/>
      <c r="BU51" s="6"/>
      <c r="BV51" s="6"/>
      <c r="CI51" s="446"/>
    </row>
    <row r="52" spans="1:87" s="14" customFormat="1" x14ac:dyDescent="0.25">
      <c r="A52" s="6"/>
      <c r="B52" s="8"/>
      <c r="C52" s="9"/>
      <c r="D52" s="9"/>
      <c r="E52" s="12"/>
      <c r="F52" s="12"/>
      <c r="G52" s="12"/>
      <c r="H52" s="12"/>
      <c r="I52" s="12"/>
      <c r="J52" s="12"/>
      <c r="K52" s="12"/>
      <c r="L52" s="433"/>
      <c r="M52" s="433"/>
      <c r="N52" s="433"/>
      <c r="O52" s="433"/>
      <c r="P52" s="433"/>
      <c r="Q52" s="433"/>
      <c r="R52" s="433"/>
      <c r="S52" s="433"/>
      <c r="T52" s="447"/>
      <c r="U52" s="433"/>
      <c r="V52" s="433"/>
      <c r="W52" s="433"/>
      <c r="X52" s="433"/>
      <c r="Y52" s="433"/>
      <c r="Z52" s="433"/>
      <c r="AA52" s="433"/>
      <c r="AB52" s="433"/>
      <c r="AC52" s="433"/>
      <c r="AD52" s="433"/>
      <c r="AE52" s="433"/>
      <c r="AF52" s="433"/>
      <c r="AG52" s="433"/>
      <c r="AH52" s="433"/>
      <c r="AI52" s="433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437"/>
      <c r="BL52" s="437"/>
      <c r="BM52" s="11"/>
      <c r="BN52" s="6"/>
      <c r="BO52" s="6"/>
      <c r="BP52" s="6"/>
      <c r="BQ52" s="6"/>
      <c r="BR52" s="6"/>
      <c r="BS52" s="6"/>
      <c r="BT52" s="6"/>
      <c r="BU52" s="6"/>
      <c r="BV52" s="6"/>
      <c r="CI52" s="446"/>
    </row>
    <row r="53" spans="1:87" s="14" customFormat="1" x14ac:dyDescent="0.25">
      <c r="A53" s="6"/>
      <c r="B53" s="8"/>
      <c r="C53" s="9"/>
      <c r="D53" s="9"/>
      <c r="E53" s="10"/>
      <c r="F53" s="10"/>
      <c r="G53" s="10"/>
      <c r="H53" s="10"/>
      <c r="I53" s="10"/>
      <c r="J53" s="10"/>
      <c r="K53" s="10"/>
      <c r="L53" s="433"/>
      <c r="M53" s="433"/>
      <c r="N53" s="433"/>
      <c r="O53" s="433"/>
      <c r="P53" s="433"/>
      <c r="Q53" s="433"/>
      <c r="R53" s="433"/>
      <c r="S53" s="433"/>
      <c r="T53" s="447"/>
      <c r="U53" s="433"/>
      <c r="V53" s="433"/>
      <c r="W53" s="433"/>
      <c r="X53" s="433"/>
      <c r="Y53" s="433"/>
      <c r="Z53" s="433"/>
      <c r="AA53" s="433"/>
      <c r="AB53" s="433"/>
      <c r="AC53" s="433"/>
      <c r="AD53" s="433"/>
      <c r="AE53" s="433"/>
      <c r="AF53" s="433"/>
      <c r="AG53" s="433"/>
      <c r="AH53" s="433"/>
      <c r="AI53" s="433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437"/>
      <c r="BL53" s="437"/>
      <c r="BM53" s="11"/>
      <c r="BN53" s="6"/>
      <c r="BO53" s="6"/>
      <c r="BP53" s="6"/>
      <c r="BQ53" s="6"/>
      <c r="BR53" s="6"/>
      <c r="BS53" s="6"/>
      <c r="BT53" s="6"/>
      <c r="BU53" s="6"/>
      <c r="BV53" s="6"/>
      <c r="CI53" s="446"/>
    </row>
    <row r="54" spans="1:87" s="14" customFormat="1" x14ac:dyDescent="0.25">
      <c r="A54" s="6"/>
      <c r="B54" s="8"/>
      <c r="C54" s="9"/>
      <c r="D54" s="9"/>
      <c r="E54" s="10"/>
      <c r="F54" s="10"/>
      <c r="G54" s="10"/>
      <c r="H54" s="10"/>
      <c r="I54" s="10"/>
      <c r="J54" s="10"/>
      <c r="K54" s="10"/>
      <c r="L54" s="433"/>
      <c r="M54" s="433"/>
      <c r="N54" s="433"/>
      <c r="O54" s="433"/>
      <c r="P54" s="433"/>
      <c r="Q54" s="433"/>
      <c r="R54" s="433"/>
      <c r="S54" s="433"/>
      <c r="T54" s="447"/>
      <c r="U54" s="433"/>
      <c r="V54" s="433"/>
      <c r="W54" s="433"/>
      <c r="X54" s="433"/>
      <c r="Y54" s="433"/>
      <c r="Z54" s="433"/>
      <c r="AA54" s="433"/>
      <c r="AB54" s="433"/>
      <c r="AC54" s="433"/>
      <c r="AD54" s="433"/>
      <c r="AE54" s="433"/>
      <c r="AF54" s="433"/>
      <c r="AG54" s="433"/>
      <c r="AH54" s="433"/>
      <c r="AI54" s="433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437"/>
      <c r="BL54" s="437"/>
      <c r="BM54" s="11"/>
      <c r="BN54" s="6"/>
      <c r="BO54" s="6"/>
      <c r="BP54" s="6"/>
      <c r="BQ54" s="6"/>
      <c r="BR54" s="6"/>
      <c r="BS54" s="6"/>
      <c r="BT54" s="6"/>
      <c r="BU54" s="6"/>
      <c r="BV54" s="6"/>
      <c r="CI54" s="446"/>
    </row>
    <row r="55" spans="1:87" s="14" customFormat="1" x14ac:dyDescent="0.25">
      <c r="A55" s="6"/>
      <c r="B55" s="8"/>
      <c r="C55" s="9"/>
      <c r="D55" s="9"/>
      <c r="E55" s="10"/>
      <c r="F55" s="10"/>
      <c r="G55" s="10"/>
      <c r="H55" s="10"/>
      <c r="I55" s="10"/>
      <c r="J55" s="10"/>
      <c r="K55" s="10"/>
      <c r="L55" s="433"/>
      <c r="M55" s="433"/>
      <c r="N55" s="433"/>
      <c r="O55" s="433"/>
      <c r="P55" s="433"/>
      <c r="Q55" s="433"/>
      <c r="R55" s="433"/>
      <c r="S55" s="433"/>
      <c r="T55" s="447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437"/>
      <c r="BL55" s="437"/>
      <c r="BM55" s="11"/>
      <c r="BN55" s="6"/>
      <c r="BO55" s="6"/>
      <c r="BP55" s="6"/>
      <c r="BQ55" s="6"/>
      <c r="BR55" s="6"/>
      <c r="BS55" s="6"/>
      <c r="BT55" s="6"/>
      <c r="BU55" s="6"/>
      <c r="BV55" s="6"/>
      <c r="CI55" s="446"/>
    </row>
    <row r="56" spans="1:87" s="14" customFormat="1" x14ac:dyDescent="0.25">
      <c r="A56" s="6"/>
      <c r="B56" s="8"/>
      <c r="C56" s="9"/>
      <c r="D56" s="9"/>
      <c r="E56" s="12"/>
      <c r="F56" s="12"/>
      <c r="G56" s="12"/>
      <c r="H56" s="12"/>
      <c r="I56" s="12"/>
      <c r="J56" s="12"/>
      <c r="K56" s="12"/>
      <c r="L56" s="433"/>
      <c r="M56" s="433"/>
      <c r="N56" s="433"/>
      <c r="O56" s="433"/>
      <c r="P56" s="433"/>
      <c r="Q56" s="433"/>
      <c r="R56" s="433"/>
      <c r="S56" s="433"/>
      <c r="T56" s="447"/>
      <c r="U56" s="433"/>
      <c r="V56" s="433"/>
      <c r="W56" s="433"/>
      <c r="X56" s="433"/>
      <c r="Y56" s="433"/>
      <c r="Z56" s="433"/>
      <c r="AA56" s="433"/>
      <c r="AB56" s="433"/>
      <c r="AC56" s="433"/>
      <c r="AD56" s="433"/>
      <c r="AE56" s="433"/>
      <c r="AF56" s="433"/>
      <c r="AG56" s="433"/>
      <c r="AH56" s="433"/>
      <c r="AI56" s="433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437"/>
      <c r="BL56" s="437"/>
      <c r="BM56" s="11"/>
      <c r="BN56" s="6"/>
      <c r="BO56" s="6"/>
      <c r="BP56" s="6"/>
      <c r="BQ56" s="6"/>
      <c r="BR56" s="6"/>
      <c r="BS56" s="6"/>
      <c r="BT56" s="6"/>
      <c r="BU56" s="6"/>
      <c r="BV56" s="6"/>
      <c r="CI56" s="446"/>
    </row>
    <row r="57" spans="1:87" s="14" customFormat="1" x14ac:dyDescent="0.25">
      <c r="A57" s="6"/>
      <c r="B57" s="8"/>
      <c r="C57" s="9"/>
      <c r="D57" s="9"/>
      <c r="E57" s="10"/>
      <c r="F57" s="10"/>
      <c r="G57" s="10"/>
      <c r="H57" s="10"/>
      <c r="I57" s="10"/>
      <c r="J57" s="10"/>
      <c r="K57" s="10"/>
      <c r="L57" s="433"/>
      <c r="M57" s="433"/>
      <c r="N57" s="433"/>
      <c r="O57" s="433"/>
      <c r="P57" s="433"/>
      <c r="Q57" s="433"/>
      <c r="R57" s="433"/>
      <c r="S57" s="433"/>
      <c r="T57" s="447"/>
      <c r="U57" s="433"/>
      <c r="V57" s="433"/>
      <c r="W57" s="433"/>
      <c r="X57" s="433"/>
      <c r="Y57" s="433"/>
      <c r="Z57" s="433"/>
      <c r="AA57" s="433"/>
      <c r="AB57" s="433"/>
      <c r="AC57" s="433"/>
      <c r="AD57" s="433"/>
      <c r="AE57" s="433"/>
      <c r="AF57" s="433"/>
      <c r="AG57" s="433"/>
      <c r="AH57" s="433"/>
      <c r="AI57" s="433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437"/>
      <c r="BL57" s="437"/>
      <c r="BM57" s="11"/>
      <c r="BN57" s="6"/>
      <c r="BO57" s="6"/>
      <c r="BP57" s="6"/>
      <c r="BQ57" s="6"/>
      <c r="BR57" s="6"/>
      <c r="BS57" s="6"/>
      <c r="BT57" s="6"/>
      <c r="BU57" s="6"/>
      <c r="BV57" s="6"/>
      <c r="CI57" s="446"/>
    </row>
    <row r="58" spans="1:87" s="14" customFormat="1" x14ac:dyDescent="0.25">
      <c r="A58" s="6"/>
      <c r="B58" s="8"/>
      <c r="C58" s="9"/>
      <c r="D58" s="9"/>
      <c r="E58" s="10"/>
      <c r="F58" s="10"/>
      <c r="G58" s="10"/>
      <c r="H58" s="10"/>
      <c r="I58" s="10"/>
      <c r="J58" s="10"/>
      <c r="K58" s="10"/>
      <c r="L58" s="433"/>
      <c r="M58" s="433"/>
      <c r="N58" s="433"/>
      <c r="O58" s="433"/>
      <c r="P58" s="433"/>
      <c r="Q58" s="433"/>
      <c r="R58" s="433"/>
      <c r="S58" s="433"/>
      <c r="T58" s="447"/>
      <c r="U58" s="433"/>
      <c r="V58" s="433"/>
      <c r="W58" s="433"/>
      <c r="X58" s="433"/>
      <c r="Y58" s="433"/>
      <c r="Z58" s="433"/>
      <c r="AA58" s="433"/>
      <c r="AB58" s="433"/>
      <c r="AC58" s="433"/>
      <c r="AD58" s="433"/>
      <c r="AE58" s="433"/>
      <c r="AF58" s="433"/>
      <c r="AG58" s="433"/>
      <c r="AH58" s="433"/>
      <c r="AI58" s="433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437"/>
      <c r="BL58" s="437"/>
      <c r="BM58" s="11"/>
      <c r="BN58" s="6"/>
      <c r="BO58" s="6"/>
      <c r="BP58" s="6"/>
      <c r="BQ58" s="6"/>
      <c r="BR58" s="6"/>
      <c r="BS58" s="6"/>
      <c r="BT58" s="6"/>
      <c r="BU58" s="6"/>
      <c r="BV58" s="6"/>
      <c r="CI58" s="446"/>
    </row>
    <row r="59" spans="1:87" s="14" customFormat="1" x14ac:dyDescent="0.25">
      <c r="A59" s="6"/>
      <c r="B59" s="8"/>
      <c r="C59" s="9"/>
      <c r="D59" s="9"/>
      <c r="E59" s="10"/>
      <c r="F59" s="10"/>
      <c r="G59" s="10"/>
      <c r="H59" s="10"/>
      <c r="I59" s="10"/>
      <c r="J59" s="10"/>
      <c r="K59" s="10"/>
      <c r="L59" s="433"/>
      <c r="M59" s="433"/>
      <c r="N59" s="433"/>
      <c r="O59" s="433"/>
      <c r="P59" s="433"/>
      <c r="Q59" s="433"/>
      <c r="R59" s="433"/>
      <c r="S59" s="433"/>
      <c r="T59" s="447"/>
      <c r="U59" s="433"/>
      <c r="V59" s="433"/>
      <c r="W59" s="433"/>
      <c r="X59" s="433"/>
      <c r="Y59" s="433"/>
      <c r="Z59" s="433"/>
      <c r="AA59" s="433"/>
      <c r="AB59" s="433"/>
      <c r="AC59" s="433"/>
      <c r="AD59" s="433"/>
      <c r="AE59" s="433"/>
      <c r="AF59" s="433"/>
      <c r="AG59" s="433"/>
      <c r="AH59" s="433"/>
      <c r="AI59" s="433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437"/>
      <c r="BL59" s="437"/>
      <c r="BM59" s="11"/>
      <c r="BN59" s="6"/>
      <c r="BO59" s="6"/>
      <c r="BP59" s="6"/>
      <c r="BQ59" s="6"/>
      <c r="BR59" s="6"/>
      <c r="BS59" s="6"/>
      <c r="BT59" s="6"/>
      <c r="BU59" s="6"/>
      <c r="BV59" s="6"/>
      <c r="CI59" s="446"/>
    </row>
    <row r="60" spans="1:87" s="14" customFormat="1" x14ac:dyDescent="0.25">
      <c r="A60" s="6"/>
      <c r="B60" s="8"/>
      <c r="C60" s="9"/>
      <c r="D60" s="9"/>
      <c r="E60" s="12"/>
      <c r="F60" s="12"/>
      <c r="G60" s="12"/>
      <c r="H60" s="12"/>
      <c r="I60" s="12"/>
      <c r="J60" s="12"/>
      <c r="K60" s="12"/>
      <c r="L60" s="433"/>
      <c r="M60" s="433"/>
      <c r="N60" s="433"/>
      <c r="O60" s="433"/>
      <c r="P60" s="433"/>
      <c r="Q60" s="433"/>
      <c r="R60" s="433"/>
      <c r="S60" s="433"/>
      <c r="T60" s="447"/>
      <c r="U60" s="433"/>
      <c r="V60" s="433"/>
      <c r="W60" s="433"/>
      <c r="X60" s="433"/>
      <c r="Y60" s="433"/>
      <c r="Z60" s="433"/>
      <c r="AA60" s="433"/>
      <c r="AB60" s="433"/>
      <c r="AC60" s="433"/>
      <c r="AD60" s="433"/>
      <c r="AE60" s="433"/>
      <c r="AF60" s="433"/>
      <c r="AG60" s="433"/>
      <c r="AH60" s="433"/>
      <c r="AI60" s="433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437"/>
      <c r="BL60" s="437"/>
      <c r="BM60" s="11"/>
      <c r="BN60" s="6"/>
      <c r="BO60" s="6"/>
      <c r="BP60" s="6"/>
      <c r="BQ60" s="6"/>
      <c r="BR60" s="6"/>
      <c r="BS60" s="6"/>
      <c r="BT60" s="6"/>
      <c r="BU60" s="6"/>
      <c r="BV60" s="6"/>
      <c r="CI60" s="446"/>
    </row>
    <row r="61" spans="1:87" s="14" customFormat="1" x14ac:dyDescent="0.25">
      <c r="A61" s="6"/>
      <c r="B61" s="8"/>
      <c r="C61" s="9"/>
      <c r="D61" s="9"/>
      <c r="E61" s="10"/>
      <c r="F61" s="10"/>
      <c r="G61" s="10"/>
      <c r="H61" s="10"/>
      <c r="I61" s="10"/>
      <c r="J61" s="10"/>
      <c r="K61" s="10"/>
      <c r="L61" s="433"/>
      <c r="M61" s="433"/>
      <c r="N61" s="433"/>
      <c r="O61" s="433"/>
      <c r="P61" s="433"/>
      <c r="Q61" s="433"/>
      <c r="R61" s="433"/>
      <c r="S61" s="433"/>
      <c r="T61" s="447"/>
      <c r="U61" s="433"/>
      <c r="V61" s="433"/>
      <c r="W61" s="433"/>
      <c r="X61" s="433"/>
      <c r="Y61" s="433"/>
      <c r="Z61" s="433"/>
      <c r="AA61" s="433"/>
      <c r="AB61" s="433"/>
      <c r="AC61" s="433"/>
      <c r="AD61" s="433"/>
      <c r="AE61" s="433"/>
      <c r="AF61" s="433"/>
      <c r="AG61" s="433"/>
      <c r="AH61" s="433"/>
      <c r="AI61" s="433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437"/>
      <c r="BL61" s="437"/>
      <c r="BM61" s="11"/>
      <c r="BN61" s="6"/>
      <c r="BO61" s="6"/>
      <c r="BP61" s="6"/>
      <c r="BQ61" s="6"/>
      <c r="BR61" s="6"/>
      <c r="BS61" s="6"/>
      <c r="BT61" s="6"/>
      <c r="BU61" s="6"/>
      <c r="BV61" s="6"/>
      <c r="CI61" s="446"/>
    </row>
    <row r="62" spans="1:87" s="14" customFormat="1" x14ac:dyDescent="0.25">
      <c r="A62" s="6"/>
      <c r="B62" s="8"/>
      <c r="C62" s="9"/>
      <c r="D62" s="9"/>
      <c r="E62" s="10"/>
      <c r="F62" s="10"/>
      <c r="G62" s="10"/>
      <c r="H62" s="10"/>
      <c r="I62" s="10"/>
      <c r="J62" s="10"/>
      <c r="K62" s="10"/>
      <c r="L62" s="433"/>
      <c r="M62" s="433"/>
      <c r="N62" s="433"/>
      <c r="O62" s="433"/>
      <c r="P62" s="433"/>
      <c r="Q62" s="433"/>
      <c r="R62" s="433"/>
      <c r="S62" s="433"/>
      <c r="T62" s="447"/>
      <c r="U62" s="433"/>
      <c r="V62" s="433"/>
      <c r="W62" s="433"/>
      <c r="X62" s="433"/>
      <c r="Y62" s="433"/>
      <c r="Z62" s="433"/>
      <c r="AA62" s="433"/>
      <c r="AB62" s="433"/>
      <c r="AC62" s="433"/>
      <c r="AD62" s="433"/>
      <c r="AE62" s="433"/>
      <c r="AF62" s="433"/>
      <c r="AG62" s="433"/>
      <c r="AH62" s="433"/>
      <c r="AI62" s="433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437"/>
      <c r="BL62" s="437"/>
      <c r="BM62" s="11"/>
      <c r="BN62" s="6"/>
      <c r="BO62" s="6"/>
      <c r="BP62" s="6"/>
      <c r="BQ62" s="6"/>
      <c r="BR62" s="6"/>
      <c r="BS62" s="6"/>
      <c r="BT62" s="6"/>
      <c r="BU62" s="6"/>
      <c r="BV62" s="6"/>
      <c r="CI62" s="446"/>
    </row>
    <row r="63" spans="1:87" s="14" customFormat="1" x14ac:dyDescent="0.25">
      <c r="A63" s="6"/>
      <c r="B63" s="8"/>
      <c r="C63" s="9"/>
      <c r="D63" s="9"/>
      <c r="E63" s="10"/>
      <c r="F63" s="10"/>
      <c r="G63" s="10"/>
      <c r="H63" s="10"/>
      <c r="I63" s="10"/>
      <c r="J63" s="10"/>
      <c r="K63" s="10"/>
      <c r="L63" s="433"/>
      <c r="M63" s="433"/>
      <c r="N63" s="433"/>
      <c r="O63" s="433"/>
      <c r="P63" s="433"/>
      <c r="Q63" s="433"/>
      <c r="R63" s="433"/>
      <c r="S63" s="433"/>
      <c r="T63" s="447"/>
      <c r="U63" s="433"/>
      <c r="V63" s="433"/>
      <c r="W63" s="433"/>
      <c r="X63" s="433"/>
      <c r="Y63" s="433"/>
      <c r="Z63" s="433"/>
      <c r="AA63" s="433"/>
      <c r="AB63" s="433"/>
      <c r="AC63" s="433"/>
      <c r="AD63" s="433"/>
      <c r="AE63" s="433"/>
      <c r="AF63" s="433"/>
      <c r="AG63" s="433"/>
      <c r="AH63" s="433"/>
      <c r="AI63" s="433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437"/>
      <c r="BL63" s="437"/>
      <c r="BM63" s="11"/>
      <c r="BN63" s="6"/>
      <c r="BO63" s="6"/>
      <c r="BP63" s="6"/>
      <c r="BQ63" s="6"/>
      <c r="BR63" s="6"/>
      <c r="BS63" s="6"/>
      <c r="BT63" s="6"/>
      <c r="BU63" s="6"/>
      <c r="BV63" s="6"/>
      <c r="CI63" s="446"/>
    </row>
    <row r="64" spans="1:87" s="14" customFormat="1" x14ac:dyDescent="0.25">
      <c r="A64" s="6"/>
      <c r="B64" s="8"/>
      <c r="C64" s="9"/>
      <c r="D64" s="9"/>
      <c r="E64" s="12"/>
      <c r="F64" s="12"/>
      <c r="G64" s="12"/>
      <c r="H64" s="12"/>
      <c r="I64" s="12"/>
      <c r="J64" s="12"/>
      <c r="K64" s="12"/>
      <c r="L64" s="433"/>
      <c r="M64" s="433"/>
      <c r="N64" s="433"/>
      <c r="O64" s="433"/>
      <c r="P64" s="433"/>
      <c r="Q64" s="433"/>
      <c r="R64" s="433"/>
      <c r="S64" s="433"/>
      <c r="T64" s="447"/>
      <c r="U64" s="433"/>
      <c r="V64" s="433"/>
      <c r="W64" s="433"/>
      <c r="X64" s="433"/>
      <c r="Y64" s="433"/>
      <c r="Z64" s="433"/>
      <c r="AA64" s="433"/>
      <c r="AB64" s="433"/>
      <c r="AC64" s="433"/>
      <c r="AD64" s="433"/>
      <c r="AE64" s="433"/>
      <c r="AF64" s="433"/>
      <c r="AG64" s="433"/>
      <c r="AH64" s="433"/>
      <c r="AI64" s="433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437"/>
      <c r="BL64" s="437"/>
      <c r="BM64" s="11"/>
      <c r="BN64" s="6"/>
      <c r="BO64" s="6"/>
      <c r="BP64" s="6"/>
      <c r="BQ64" s="6"/>
      <c r="BR64" s="6"/>
      <c r="BS64" s="6"/>
      <c r="BT64" s="6"/>
      <c r="BU64" s="6"/>
      <c r="BV64" s="6"/>
      <c r="CI64" s="446"/>
    </row>
    <row r="65" spans="1:87" s="14" customFormat="1" x14ac:dyDescent="0.25">
      <c r="A65" s="6"/>
      <c r="B65" s="8"/>
      <c r="C65" s="9"/>
      <c r="D65" s="9"/>
      <c r="E65" s="10"/>
      <c r="F65" s="10"/>
      <c r="G65" s="10"/>
      <c r="H65" s="10"/>
      <c r="I65" s="10"/>
      <c r="J65" s="10"/>
      <c r="K65" s="10"/>
      <c r="L65" s="433"/>
      <c r="M65" s="433"/>
      <c r="N65" s="433"/>
      <c r="O65" s="433"/>
      <c r="P65" s="433"/>
      <c r="Q65" s="433"/>
      <c r="R65" s="433"/>
      <c r="S65" s="433"/>
      <c r="T65" s="447"/>
      <c r="U65" s="433"/>
      <c r="V65" s="433"/>
      <c r="W65" s="433"/>
      <c r="X65" s="433"/>
      <c r="Y65" s="433"/>
      <c r="Z65" s="433"/>
      <c r="AA65" s="433"/>
      <c r="AB65" s="433"/>
      <c r="AC65" s="433"/>
      <c r="AD65" s="433"/>
      <c r="AE65" s="433"/>
      <c r="AF65" s="433"/>
      <c r="AG65" s="433"/>
      <c r="AH65" s="433"/>
      <c r="AI65" s="433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437"/>
      <c r="BL65" s="437"/>
      <c r="BM65" s="11"/>
      <c r="BN65" s="6"/>
      <c r="BO65" s="6"/>
      <c r="BP65" s="6"/>
      <c r="BQ65" s="6"/>
      <c r="BR65" s="6"/>
      <c r="BS65" s="6"/>
      <c r="BT65" s="6"/>
      <c r="BU65" s="6"/>
      <c r="BV65" s="6"/>
      <c r="CI65" s="446"/>
    </row>
    <row r="66" spans="1:87" s="14" customFormat="1" x14ac:dyDescent="0.25">
      <c r="A66" s="6"/>
      <c r="B66" s="8"/>
      <c r="C66" s="9"/>
      <c r="D66" s="9"/>
      <c r="E66" s="10"/>
      <c r="F66" s="10"/>
      <c r="G66" s="10"/>
      <c r="H66" s="10"/>
      <c r="I66" s="10"/>
      <c r="J66" s="10"/>
      <c r="K66" s="10"/>
      <c r="L66" s="433"/>
      <c r="M66" s="433"/>
      <c r="N66" s="433"/>
      <c r="O66" s="433"/>
      <c r="P66" s="433"/>
      <c r="Q66" s="433"/>
      <c r="R66" s="433"/>
      <c r="S66" s="433"/>
      <c r="T66" s="447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437"/>
      <c r="BL66" s="437"/>
      <c r="BM66" s="11"/>
      <c r="BN66" s="6"/>
      <c r="BO66" s="6"/>
      <c r="BP66" s="6"/>
      <c r="BQ66" s="6"/>
      <c r="BR66" s="6"/>
      <c r="BS66" s="6"/>
      <c r="BT66" s="6"/>
      <c r="BU66" s="6"/>
      <c r="BV66" s="6"/>
      <c r="CI66" s="446"/>
    </row>
    <row r="67" spans="1:87" s="14" customFormat="1" x14ac:dyDescent="0.25">
      <c r="A67" s="6"/>
      <c r="B67" s="8"/>
      <c r="C67" s="9"/>
      <c r="D67" s="9"/>
      <c r="E67" s="10"/>
      <c r="F67" s="10"/>
      <c r="G67" s="10"/>
      <c r="H67" s="10"/>
      <c r="I67" s="10"/>
      <c r="J67" s="10"/>
      <c r="K67" s="10"/>
      <c r="L67" s="433"/>
      <c r="M67" s="433"/>
      <c r="N67" s="433"/>
      <c r="O67" s="433"/>
      <c r="P67" s="433"/>
      <c r="Q67" s="433"/>
      <c r="R67" s="433"/>
      <c r="S67" s="433"/>
      <c r="T67" s="447"/>
      <c r="U67" s="433"/>
      <c r="V67" s="433"/>
      <c r="W67" s="433"/>
      <c r="X67" s="433"/>
      <c r="Y67" s="433"/>
      <c r="Z67" s="433"/>
      <c r="AA67" s="433"/>
      <c r="AB67" s="433"/>
      <c r="AC67" s="433"/>
      <c r="AD67" s="433"/>
      <c r="AE67" s="433"/>
      <c r="AF67" s="433"/>
      <c r="AG67" s="433"/>
      <c r="AH67" s="433"/>
      <c r="AI67" s="433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437"/>
      <c r="BL67" s="437"/>
      <c r="BM67" s="11"/>
      <c r="BN67" s="6"/>
      <c r="BO67" s="6"/>
      <c r="BP67" s="6"/>
      <c r="BQ67" s="6"/>
      <c r="BR67" s="6"/>
      <c r="BS67" s="6"/>
      <c r="BT67" s="6"/>
      <c r="BU67" s="6"/>
      <c r="BV67" s="6"/>
      <c r="CI67" s="446"/>
    </row>
    <row r="68" spans="1:87" s="14" customFormat="1" x14ac:dyDescent="0.25">
      <c r="A68" s="6"/>
      <c r="B68" s="8"/>
      <c r="C68" s="9"/>
      <c r="D68" s="9"/>
      <c r="E68" s="12"/>
      <c r="F68" s="12"/>
      <c r="G68" s="12"/>
      <c r="H68" s="12"/>
      <c r="I68" s="12"/>
      <c r="J68" s="12"/>
      <c r="K68" s="12"/>
      <c r="L68" s="433"/>
      <c r="M68" s="433"/>
      <c r="N68" s="433"/>
      <c r="O68" s="433"/>
      <c r="P68" s="433"/>
      <c r="Q68" s="433"/>
      <c r="R68" s="433"/>
      <c r="S68" s="433"/>
      <c r="T68" s="447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437"/>
      <c r="BL68" s="437"/>
      <c r="BM68" s="11"/>
      <c r="BN68" s="6"/>
      <c r="BO68" s="6"/>
      <c r="BP68" s="6"/>
      <c r="BQ68" s="6"/>
      <c r="BR68" s="6"/>
      <c r="BS68" s="6"/>
      <c r="BT68" s="6"/>
      <c r="BU68" s="6"/>
      <c r="BV68" s="6"/>
      <c r="CI68" s="446"/>
    </row>
    <row r="69" spans="1:87" s="14" customFormat="1" x14ac:dyDescent="0.25">
      <c r="A69" s="6"/>
      <c r="B69" s="8"/>
      <c r="C69" s="9"/>
      <c r="D69" s="9"/>
      <c r="E69" s="10"/>
      <c r="F69" s="10"/>
      <c r="G69" s="10"/>
      <c r="H69" s="10"/>
      <c r="I69" s="10"/>
      <c r="J69" s="10"/>
      <c r="K69" s="10"/>
      <c r="L69" s="433"/>
      <c r="M69" s="433"/>
      <c r="N69" s="433"/>
      <c r="O69" s="433"/>
      <c r="P69" s="433"/>
      <c r="Q69" s="433"/>
      <c r="R69" s="433"/>
      <c r="S69" s="433"/>
      <c r="T69" s="447"/>
      <c r="U69" s="433"/>
      <c r="V69" s="433"/>
      <c r="W69" s="433"/>
      <c r="X69" s="433"/>
      <c r="Y69" s="433"/>
      <c r="Z69" s="433"/>
      <c r="AA69" s="433"/>
      <c r="AB69" s="433"/>
      <c r="AC69" s="433"/>
      <c r="AD69" s="433"/>
      <c r="AE69" s="433"/>
      <c r="AF69" s="433"/>
      <c r="AG69" s="433"/>
      <c r="AH69" s="433"/>
      <c r="AI69" s="433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437"/>
      <c r="BL69" s="437"/>
      <c r="BM69" s="11"/>
      <c r="BN69" s="6"/>
      <c r="BO69" s="6"/>
      <c r="BP69" s="6"/>
      <c r="BQ69" s="6"/>
      <c r="BR69" s="6"/>
      <c r="BS69" s="6"/>
      <c r="BT69" s="6"/>
      <c r="BU69" s="6"/>
      <c r="BV69" s="6"/>
      <c r="CI69" s="446"/>
    </row>
    <row r="70" spans="1:87" s="14" customFormat="1" x14ac:dyDescent="0.25">
      <c r="A70" s="6"/>
      <c r="B70" s="8"/>
      <c r="C70" s="9"/>
      <c r="D70" s="9"/>
      <c r="E70" s="10"/>
      <c r="F70" s="10"/>
      <c r="G70" s="10"/>
      <c r="H70" s="10"/>
      <c r="I70" s="10"/>
      <c r="J70" s="10"/>
      <c r="K70" s="10"/>
      <c r="L70" s="433"/>
      <c r="M70" s="433"/>
      <c r="N70" s="433"/>
      <c r="O70" s="433"/>
      <c r="P70" s="433"/>
      <c r="Q70" s="433"/>
      <c r="R70" s="433"/>
      <c r="S70" s="433"/>
      <c r="T70" s="447"/>
      <c r="U70" s="433"/>
      <c r="V70" s="433"/>
      <c r="W70" s="433"/>
      <c r="X70" s="433"/>
      <c r="Y70" s="433"/>
      <c r="Z70" s="433"/>
      <c r="AA70" s="433"/>
      <c r="AB70" s="433"/>
      <c r="AC70" s="433"/>
      <c r="AD70" s="433"/>
      <c r="AE70" s="433"/>
      <c r="AF70" s="433"/>
      <c r="AG70" s="433"/>
      <c r="AH70" s="433"/>
      <c r="AI70" s="433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437"/>
      <c r="BL70" s="437"/>
      <c r="BM70" s="11"/>
      <c r="BN70" s="6"/>
      <c r="BO70" s="6"/>
      <c r="BP70" s="6"/>
      <c r="BQ70" s="6"/>
      <c r="BR70" s="6"/>
      <c r="BS70" s="6"/>
      <c r="BT70" s="6"/>
      <c r="BU70" s="6"/>
      <c r="BV70" s="6"/>
      <c r="CI70" s="446"/>
    </row>
    <row r="71" spans="1:87" s="14" customFormat="1" x14ac:dyDescent="0.25">
      <c r="A71" s="6"/>
      <c r="B71" s="8"/>
      <c r="C71" s="9"/>
      <c r="D71" s="9"/>
      <c r="E71" s="10"/>
      <c r="F71" s="10"/>
      <c r="G71" s="10"/>
      <c r="H71" s="10"/>
      <c r="I71" s="10"/>
      <c r="J71" s="10"/>
      <c r="K71" s="10"/>
      <c r="L71" s="433"/>
      <c r="M71" s="433"/>
      <c r="N71" s="433"/>
      <c r="O71" s="433"/>
      <c r="P71" s="433"/>
      <c r="Q71" s="433"/>
      <c r="R71" s="433"/>
      <c r="S71" s="433"/>
      <c r="T71" s="447"/>
      <c r="U71" s="433"/>
      <c r="V71" s="433"/>
      <c r="W71" s="433"/>
      <c r="X71" s="433"/>
      <c r="Y71" s="433"/>
      <c r="Z71" s="433"/>
      <c r="AA71" s="433"/>
      <c r="AB71" s="433"/>
      <c r="AC71" s="433"/>
      <c r="AD71" s="433"/>
      <c r="AE71" s="433"/>
      <c r="AF71" s="433"/>
      <c r="AG71" s="433"/>
      <c r="AH71" s="433"/>
      <c r="AI71" s="433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437"/>
      <c r="BL71" s="437"/>
      <c r="BM71" s="11"/>
      <c r="BN71" s="6"/>
      <c r="BO71" s="6"/>
      <c r="BP71" s="6"/>
      <c r="BQ71" s="6"/>
      <c r="BR71" s="6"/>
      <c r="BS71" s="6"/>
      <c r="BT71" s="6"/>
      <c r="BU71" s="6"/>
      <c r="BV71" s="6"/>
      <c r="CI71" s="446"/>
    </row>
    <row r="72" spans="1:87" s="14" customFormat="1" x14ac:dyDescent="0.25">
      <c r="A72" s="6"/>
      <c r="B72" s="8"/>
      <c r="C72" s="9"/>
      <c r="D72" s="9"/>
      <c r="E72" s="12"/>
      <c r="F72" s="12"/>
      <c r="G72" s="12"/>
      <c r="H72" s="12"/>
      <c r="I72" s="12"/>
      <c r="J72" s="12"/>
      <c r="K72" s="12"/>
      <c r="L72" s="433"/>
      <c r="M72" s="433"/>
      <c r="N72" s="433"/>
      <c r="O72" s="433"/>
      <c r="P72" s="433"/>
      <c r="Q72" s="433"/>
      <c r="R72" s="433"/>
      <c r="S72" s="433"/>
      <c r="T72" s="447"/>
      <c r="U72" s="433"/>
      <c r="V72" s="433"/>
      <c r="W72" s="433"/>
      <c r="X72" s="433"/>
      <c r="Y72" s="433"/>
      <c r="Z72" s="433"/>
      <c r="AA72" s="433"/>
      <c r="AB72" s="433"/>
      <c r="AC72" s="433"/>
      <c r="AD72" s="433"/>
      <c r="AE72" s="433"/>
      <c r="AF72" s="433"/>
      <c r="AG72" s="433"/>
      <c r="AH72" s="433"/>
      <c r="AI72" s="433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437"/>
      <c r="BL72" s="437"/>
      <c r="BM72" s="11"/>
      <c r="BN72" s="6"/>
      <c r="BO72" s="6"/>
      <c r="BP72" s="6"/>
      <c r="BQ72" s="6"/>
      <c r="BR72" s="6"/>
      <c r="BS72" s="6"/>
      <c r="BT72" s="6"/>
      <c r="BU72" s="6"/>
      <c r="BV72" s="6"/>
      <c r="CI72" s="446"/>
    </row>
    <row r="73" spans="1:87" s="14" customFormat="1" x14ac:dyDescent="0.25">
      <c r="A73" s="6"/>
      <c r="B73" s="8"/>
      <c r="C73" s="9"/>
      <c r="D73" s="9"/>
      <c r="E73" s="10"/>
      <c r="F73" s="10"/>
      <c r="G73" s="10"/>
      <c r="H73" s="10"/>
      <c r="I73" s="10"/>
      <c r="J73" s="10"/>
      <c r="K73" s="10"/>
      <c r="L73" s="433"/>
      <c r="M73" s="433"/>
      <c r="N73" s="433"/>
      <c r="O73" s="433"/>
      <c r="P73" s="433"/>
      <c r="Q73" s="433"/>
      <c r="R73" s="433"/>
      <c r="S73" s="433"/>
      <c r="T73" s="447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433"/>
      <c r="AG73" s="433"/>
      <c r="AH73" s="433"/>
      <c r="AI73" s="433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437"/>
      <c r="BL73" s="437"/>
      <c r="BM73" s="11"/>
      <c r="BN73" s="6"/>
      <c r="BO73" s="6"/>
      <c r="BP73" s="6"/>
      <c r="BQ73" s="6"/>
      <c r="BR73" s="6"/>
      <c r="BS73" s="6"/>
      <c r="BT73" s="6"/>
      <c r="BU73" s="6"/>
      <c r="BV73" s="6"/>
      <c r="CI73" s="446"/>
    </row>
    <row r="74" spans="1:87" s="14" customFormat="1" x14ac:dyDescent="0.25">
      <c r="A74" s="6"/>
      <c r="B74" s="8"/>
      <c r="C74" s="9"/>
      <c r="D74" s="9"/>
      <c r="E74" s="10"/>
      <c r="F74" s="10"/>
      <c r="G74" s="10"/>
      <c r="H74" s="10"/>
      <c r="I74" s="10"/>
      <c r="J74" s="10"/>
      <c r="K74" s="10"/>
      <c r="L74" s="433"/>
      <c r="M74" s="433"/>
      <c r="N74" s="433"/>
      <c r="O74" s="433"/>
      <c r="P74" s="433"/>
      <c r="Q74" s="433"/>
      <c r="R74" s="433"/>
      <c r="S74" s="433"/>
      <c r="T74" s="447"/>
      <c r="U74" s="433"/>
      <c r="V74" s="433"/>
      <c r="W74" s="433"/>
      <c r="X74" s="433"/>
      <c r="Y74" s="433"/>
      <c r="Z74" s="433"/>
      <c r="AA74" s="433"/>
      <c r="AB74" s="433"/>
      <c r="AC74" s="433"/>
      <c r="AD74" s="433"/>
      <c r="AE74" s="433"/>
      <c r="AF74" s="433"/>
      <c r="AG74" s="433"/>
      <c r="AH74" s="433"/>
      <c r="AI74" s="433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437"/>
      <c r="BL74" s="437"/>
      <c r="BM74" s="11"/>
      <c r="BN74" s="6"/>
      <c r="BO74" s="6"/>
      <c r="BP74" s="6"/>
      <c r="BQ74" s="6"/>
      <c r="BR74" s="6"/>
      <c r="BS74" s="6"/>
      <c r="BT74" s="6"/>
      <c r="BU74" s="6"/>
      <c r="BV74" s="6"/>
      <c r="CI74" s="446"/>
    </row>
    <row r="75" spans="1:87" s="14" customFormat="1" x14ac:dyDescent="0.25">
      <c r="A75" s="6"/>
      <c r="B75" s="8"/>
      <c r="C75" s="9"/>
      <c r="D75" s="9"/>
      <c r="E75" s="10"/>
      <c r="F75" s="10"/>
      <c r="G75" s="10"/>
      <c r="H75" s="10"/>
      <c r="I75" s="10"/>
      <c r="J75" s="10"/>
      <c r="K75" s="10"/>
      <c r="L75" s="433"/>
      <c r="M75" s="433"/>
      <c r="N75" s="433"/>
      <c r="O75" s="433"/>
      <c r="P75" s="433"/>
      <c r="Q75" s="433"/>
      <c r="R75" s="433"/>
      <c r="S75" s="433"/>
      <c r="T75" s="447"/>
      <c r="U75" s="433"/>
      <c r="V75" s="433"/>
      <c r="W75" s="433"/>
      <c r="X75" s="433"/>
      <c r="Y75" s="433"/>
      <c r="Z75" s="433"/>
      <c r="AA75" s="433"/>
      <c r="AB75" s="433"/>
      <c r="AC75" s="433"/>
      <c r="AD75" s="433"/>
      <c r="AE75" s="433"/>
      <c r="AF75" s="433"/>
      <c r="AG75" s="433"/>
      <c r="AH75" s="433"/>
      <c r="AI75" s="433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437"/>
      <c r="BL75" s="437"/>
      <c r="BM75" s="11"/>
      <c r="BN75" s="6"/>
      <c r="BO75" s="6"/>
      <c r="BP75" s="6"/>
      <c r="BQ75" s="6"/>
      <c r="BR75" s="6"/>
      <c r="BS75" s="6"/>
      <c r="BT75" s="6"/>
      <c r="BU75" s="6"/>
      <c r="BV75" s="6"/>
      <c r="CI75" s="446"/>
    </row>
    <row r="76" spans="1:87" s="14" customFormat="1" x14ac:dyDescent="0.25">
      <c r="A76" s="6"/>
      <c r="B76" s="15"/>
      <c r="C76" s="9"/>
      <c r="D76" s="9"/>
      <c r="E76" s="10"/>
      <c r="F76" s="10"/>
      <c r="G76" s="10"/>
      <c r="H76" s="10"/>
      <c r="I76" s="10"/>
      <c r="J76" s="10"/>
      <c r="K76" s="10"/>
      <c r="L76" s="433"/>
      <c r="M76" s="433"/>
      <c r="N76" s="433"/>
      <c r="O76" s="433"/>
      <c r="P76" s="433"/>
      <c r="Q76" s="433"/>
      <c r="R76" s="433"/>
      <c r="S76" s="433"/>
      <c r="T76" s="447"/>
      <c r="U76" s="433"/>
      <c r="V76" s="433"/>
      <c r="W76" s="433"/>
      <c r="X76" s="433"/>
      <c r="Y76" s="433"/>
      <c r="Z76" s="433"/>
      <c r="AA76" s="433"/>
      <c r="AB76" s="433"/>
      <c r="AC76" s="433"/>
      <c r="AD76" s="433"/>
      <c r="AE76" s="433"/>
      <c r="AF76" s="433"/>
      <c r="AG76" s="433"/>
      <c r="AH76" s="433"/>
      <c r="AI76" s="433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437"/>
      <c r="BL76" s="437"/>
      <c r="BM76" s="11"/>
      <c r="BN76" s="6"/>
      <c r="BO76" s="6"/>
      <c r="BP76" s="6"/>
      <c r="BQ76" s="6"/>
      <c r="BR76" s="6"/>
      <c r="BS76" s="6"/>
      <c r="BT76" s="6"/>
      <c r="BU76" s="6"/>
      <c r="BV76" s="6"/>
      <c r="CI76" s="446"/>
    </row>
    <row r="77" spans="1:87" s="14" customFormat="1" x14ac:dyDescent="0.25">
      <c r="A77" s="6"/>
      <c r="B77" s="6"/>
      <c r="C77" s="6"/>
      <c r="D77" s="6"/>
      <c r="E77" s="16"/>
      <c r="F77" s="16"/>
      <c r="G77" s="16"/>
      <c r="H77" s="16"/>
      <c r="I77" s="16"/>
      <c r="J77" s="16"/>
      <c r="K77" s="6"/>
      <c r="L77" s="434"/>
      <c r="M77" s="434"/>
      <c r="N77" s="434"/>
      <c r="O77" s="434"/>
      <c r="P77" s="434"/>
      <c r="Q77" s="434"/>
      <c r="R77" s="434"/>
      <c r="S77" s="434"/>
      <c r="T77" s="448"/>
      <c r="U77" s="434"/>
      <c r="V77" s="434"/>
      <c r="W77" s="434"/>
      <c r="X77" s="434"/>
      <c r="Y77" s="434"/>
      <c r="Z77" s="434"/>
      <c r="AA77" s="434"/>
      <c r="AB77" s="434"/>
      <c r="AC77" s="434"/>
      <c r="AD77" s="434"/>
      <c r="AE77" s="434"/>
      <c r="AF77" s="434"/>
      <c r="AG77" s="434"/>
      <c r="AH77" s="434"/>
      <c r="AI77" s="434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438"/>
      <c r="BL77" s="438"/>
      <c r="BM77" s="6"/>
      <c r="BN77" s="6"/>
      <c r="BO77" s="6"/>
      <c r="BP77" s="6"/>
      <c r="BQ77" s="6"/>
      <c r="BR77" s="6"/>
      <c r="BS77" s="6"/>
      <c r="BT77" s="6"/>
      <c r="BU77" s="6"/>
      <c r="BV77" s="6"/>
      <c r="CI77" s="446"/>
    </row>
    <row r="78" spans="1:87" s="14" customFormat="1" x14ac:dyDescent="0.25">
      <c r="A78" s="6"/>
      <c r="B78" s="6"/>
      <c r="C78" s="6"/>
      <c r="D78" s="6"/>
      <c r="E78" s="16"/>
      <c r="F78" s="16"/>
      <c r="G78" s="16"/>
      <c r="H78" s="16"/>
      <c r="I78" s="16"/>
      <c r="J78" s="16"/>
      <c r="K78" s="6"/>
      <c r="L78" s="434"/>
      <c r="M78" s="434"/>
      <c r="N78" s="434"/>
      <c r="O78" s="434"/>
      <c r="P78" s="434"/>
      <c r="Q78" s="434"/>
      <c r="R78" s="434"/>
      <c r="S78" s="434"/>
      <c r="T78" s="448"/>
      <c r="U78" s="434"/>
      <c r="V78" s="434"/>
      <c r="W78" s="434"/>
      <c r="X78" s="434"/>
      <c r="Y78" s="434"/>
      <c r="Z78" s="434"/>
      <c r="AA78" s="434"/>
      <c r="AB78" s="434"/>
      <c r="AC78" s="434"/>
      <c r="AD78" s="434"/>
      <c r="AE78" s="434"/>
      <c r="AF78" s="434"/>
      <c r="AG78" s="434"/>
      <c r="AH78" s="434"/>
      <c r="AI78" s="434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438"/>
      <c r="BL78" s="438"/>
      <c r="BM78" s="6"/>
      <c r="BN78" s="6"/>
      <c r="BO78" s="6"/>
      <c r="BP78" s="6"/>
      <c r="BQ78" s="6"/>
      <c r="BR78" s="6"/>
      <c r="BS78" s="6"/>
      <c r="BT78" s="6"/>
      <c r="BU78" s="6"/>
      <c r="BV78" s="6"/>
      <c r="CI78" s="446"/>
    </row>
    <row r="79" spans="1:87" s="14" customFormat="1" x14ac:dyDescent="0.25">
      <c r="A79" s="6"/>
      <c r="B79" s="6"/>
      <c r="C79" s="6"/>
      <c r="D79" s="6"/>
      <c r="E79" s="16"/>
      <c r="F79" s="16"/>
      <c r="G79" s="16"/>
      <c r="H79" s="16"/>
      <c r="I79" s="16"/>
      <c r="J79" s="16"/>
      <c r="K79" s="6"/>
      <c r="L79" s="434"/>
      <c r="M79" s="434"/>
      <c r="N79" s="434"/>
      <c r="O79" s="434"/>
      <c r="P79" s="434"/>
      <c r="Q79" s="434"/>
      <c r="R79" s="434"/>
      <c r="S79" s="434"/>
      <c r="T79" s="448"/>
      <c r="U79" s="434"/>
      <c r="V79" s="434"/>
      <c r="W79" s="434"/>
      <c r="X79" s="434"/>
      <c r="Y79" s="434"/>
      <c r="Z79" s="434"/>
      <c r="AA79" s="434"/>
      <c r="AB79" s="434"/>
      <c r="AC79" s="434"/>
      <c r="AD79" s="434"/>
      <c r="AE79" s="434"/>
      <c r="AF79" s="434"/>
      <c r="AG79" s="434"/>
      <c r="AH79" s="434"/>
      <c r="AI79" s="434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438"/>
      <c r="BL79" s="438"/>
      <c r="BM79" s="6"/>
      <c r="BN79" s="6"/>
      <c r="BO79" s="6"/>
      <c r="BP79" s="6"/>
      <c r="BQ79" s="6"/>
      <c r="BR79" s="6"/>
      <c r="BS79" s="6"/>
      <c r="BT79" s="6"/>
      <c r="BU79" s="6"/>
      <c r="BV79" s="6"/>
      <c r="CI79" s="446"/>
    </row>
    <row r="80" spans="1:87" s="14" customFormat="1" x14ac:dyDescent="0.25">
      <c r="A80" s="6"/>
      <c r="B80" s="6"/>
      <c r="C80" s="6"/>
      <c r="D80" s="6"/>
      <c r="E80" s="16"/>
      <c r="F80" s="16"/>
      <c r="G80" s="16"/>
      <c r="H80" s="16"/>
      <c r="I80" s="16"/>
      <c r="J80" s="16"/>
      <c r="K80" s="6"/>
      <c r="L80" s="434"/>
      <c r="M80" s="434"/>
      <c r="N80" s="434"/>
      <c r="O80" s="434"/>
      <c r="P80" s="434"/>
      <c r="Q80" s="434"/>
      <c r="R80" s="434"/>
      <c r="S80" s="434"/>
      <c r="T80" s="448"/>
      <c r="U80" s="434"/>
      <c r="V80" s="434"/>
      <c r="W80" s="434"/>
      <c r="X80" s="434"/>
      <c r="Y80" s="434"/>
      <c r="Z80" s="434"/>
      <c r="AA80" s="434"/>
      <c r="AB80" s="434"/>
      <c r="AC80" s="434"/>
      <c r="AD80" s="434"/>
      <c r="AE80" s="434"/>
      <c r="AF80" s="434"/>
      <c r="AG80" s="434"/>
      <c r="AH80" s="434"/>
      <c r="AI80" s="434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438"/>
      <c r="BL80" s="438"/>
      <c r="BM80" s="6"/>
      <c r="BN80" s="6"/>
      <c r="BO80" s="6"/>
      <c r="BP80" s="6"/>
      <c r="BQ80" s="6"/>
      <c r="BR80" s="6"/>
      <c r="BS80" s="6"/>
      <c r="BT80" s="6"/>
      <c r="BU80" s="6"/>
      <c r="BV80" s="6"/>
      <c r="CI80" s="446"/>
    </row>
    <row r="81" spans="1:87" s="14" customFormat="1" x14ac:dyDescent="0.25">
      <c r="A81" s="6"/>
      <c r="B81" s="6"/>
      <c r="C81" s="6"/>
      <c r="D81" s="6"/>
      <c r="E81" s="16"/>
      <c r="F81" s="16"/>
      <c r="G81" s="16"/>
      <c r="H81" s="16"/>
      <c r="I81" s="16"/>
      <c r="J81" s="16"/>
      <c r="K81" s="6"/>
      <c r="L81" s="434"/>
      <c r="M81" s="434"/>
      <c r="N81" s="434"/>
      <c r="O81" s="434"/>
      <c r="P81" s="434"/>
      <c r="Q81" s="434"/>
      <c r="R81" s="434"/>
      <c r="S81" s="434"/>
      <c r="T81" s="448"/>
      <c r="U81" s="434"/>
      <c r="V81" s="434"/>
      <c r="W81" s="434"/>
      <c r="X81" s="434"/>
      <c r="Y81" s="434"/>
      <c r="Z81" s="434"/>
      <c r="AA81" s="434"/>
      <c r="AB81" s="434"/>
      <c r="AC81" s="434"/>
      <c r="AD81" s="434"/>
      <c r="AE81" s="434"/>
      <c r="AF81" s="434"/>
      <c r="AG81" s="434"/>
      <c r="AH81" s="434"/>
      <c r="AI81" s="434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438"/>
      <c r="BL81" s="438"/>
      <c r="BM81" s="6"/>
      <c r="BN81" s="6"/>
      <c r="BO81" s="6"/>
      <c r="BP81" s="6"/>
      <c r="BQ81" s="6"/>
      <c r="BR81" s="6"/>
      <c r="BS81" s="6"/>
      <c r="BT81" s="6"/>
      <c r="BU81" s="6"/>
      <c r="BV81" s="6"/>
      <c r="CI81" s="446"/>
    </row>
    <row r="82" spans="1:87" s="14" customFormat="1" x14ac:dyDescent="0.25">
      <c r="A82" s="6"/>
      <c r="B82" s="6"/>
      <c r="C82" s="6"/>
      <c r="D82" s="6"/>
      <c r="E82" s="16"/>
      <c r="F82" s="16"/>
      <c r="G82" s="16"/>
      <c r="H82" s="16"/>
      <c r="I82" s="16"/>
      <c r="J82" s="16"/>
      <c r="K82" s="6"/>
      <c r="L82" s="434"/>
      <c r="M82" s="434"/>
      <c r="N82" s="434"/>
      <c r="O82" s="434"/>
      <c r="P82" s="434"/>
      <c r="Q82" s="434"/>
      <c r="R82" s="434"/>
      <c r="S82" s="434"/>
      <c r="T82" s="448"/>
      <c r="U82" s="434"/>
      <c r="V82" s="434"/>
      <c r="W82" s="434"/>
      <c r="X82" s="434"/>
      <c r="Y82" s="434"/>
      <c r="Z82" s="434"/>
      <c r="AA82" s="434"/>
      <c r="AB82" s="434"/>
      <c r="AC82" s="434"/>
      <c r="AD82" s="434"/>
      <c r="AE82" s="434"/>
      <c r="AF82" s="434"/>
      <c r="AG82" s="434"/>
      <c r="AH82" s="434"/>
      <c r="AI82" s="434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438"/>
      <c r="BL82" s="438"/>
      <c r="BM82" s="6"/>
      <c r="BN82" s="6"/>
      <c r="BO82" s="6"/>
      <c r="BP82" s="6"/>
      <c r="BQ82" s="6"/>
      <c r="BR82" s="6"/>
      <c r="BS82" s="6"/>
      <c r="BT82" s="6"/>
      <c r="BU82" s="6"/>
      <c r="BV82" s="6"/>
      <c r="CI82" s="446"/>
    </row>
    <row r="83" spans="1:87" x14ac:dyDescent="0.25">
      <c r="A83" s="6"/>
      <c r="B83" s="6"/>
      <c r="C83" s="6"/>
      <c r="D83" s="6"/>
      <c r="E83" s="16"/>
      <c r="F83" s="16"/>
      <c r="G83" s="16"/>
      <c r="H83" s="16"/>
      <c r="I83" s="16"/>
      <c r="J83" s="16"/>
      <c r="K83" s="6"/>
      <c r="L83" s="434"/>
      <c r="M83" s="434"/>
      <c r="N83" s="434"/>
      <c r="O83" s="434"/>
      <c r="P83" s="434"/>
      <c r="Q83" s="434"/>
      <c r="R83" s="434"/>
      <c r="S83" s="434"/>
      <c r="T83" s="448"/>
      <c r="U83" s="434"/>
      <c r="V83" s="434"/>
      <c r="W83" s="434"/>
      <c r="X83" s="434"/>
      <c r="Y83" s="434"/>
      <c r="Z83" s="434"/>
      <c r="AA83" s="434"/>
      <c r="AB83" s="434"/>
      <c r="AC83" s="434"/>
      <c r="AD83" s="434"/>
      <c r="AE83" s="434"/>
      <c r="AF83" s="434"/>
      <c r="AG83" s="434"/>
      <c r="AH83" s="434"/>
      <c r="AI83" s="434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438"/>
      <c r="BL83" s="438"/>
      <c r="BM83" s="1"/>
      <c r="BN83" s="1"/>
      <c r="BO83" s="1"/>
      <c r="BP83" s="1"/>
      <c r="BQ83" s="1"/>
      <c r="BR83" s="1"/>
      <c r="BS83" s="1"/>
      <c r="BT83" s="1"/>
      <c r="BU83" s="1"/>
      <c r="BV83" s="1"/>
    </row>
    <row r="84" spans="1:87" x14ac:dyDescent="0.25">
      <c r="A84" s="6"/>
      <c r="B84" s="6"/>
      <c r="C84" s="6"/>
      <c r="D84" s="6"/>
      <c r="E84" s="16"/>
      <c r="F84" s="16"/>
      <c r="G84" s="16"/>
      <c r="H84" s="16"/>
      <c r="I84" s="16"/>
      <c r="J84" s="16"/>
      <c r="K84" s="6"/>
      <c r="L84" s="434"/>
      <c r="M84" s="434"/>
      <c r="N84" s="434"/>
      <c r="O84" s="434"/>
      <c r="P84" s="434"/>
      <c r="Q84" s="434"/>
      <c r="R84" s="434"/>
      <c r="S84" s="434"/>
      <c r="T84" s="448"/>
      <c r="U84" s="434"/>
      <c r="V84" s="434"/>
      <c r="W84" s="434"/>
      <c r="X84" s="434"/>
      <c r="Y84" s="434"/>
      <c r="Z84" s="434"/>
      <c r="AA84" s="434"/>
      <c r="AB84" s="434"/>
      <c r="AC84" s="434"/>
      <c r="AD84" s="434"/>
      <c r="AE84" s="434"/>
      <c r="AF84" s="434"/>
      <c r="AG84" s="434"/>
      <c r="AH84" s="434"/>
      <c r="AI84" s="434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438"/>
      <c r="BL84" s="438"/>
      <c r="BM84" s="1"/>
      <c r="BN84" s="1"/>
      <c r="BO84" s="1"/>
      <c r="BP84" s="1"/>
      <c r="BQ84" s="1"/>
      <c r="BR84" s="1"/>
      <c r="BS84" s="1"/>
      <c r="BT84" s="1"/>
      <c r="BU84" s="1"/>
      <c r="BV84" s="1"/>
    </row>
    <row r="85" spans="1:87" x14ac:dyDescent="0.25">
      <c r="A85" s="6"/>
      <c r="B85" s="6"/>
      <c r="C85" s="6"/>
      <c r="D85" s="6"/>
      <c r="E85" s="16"/>
      <c r="F85" s="16"/>
      <c r="G85" s="16"/>
      <c r="H85" s="16"/>
      <c r="I85" s="16"/>
      <c r="J85" s="16"/>
      <c r="K85" s="6"/>
      <c r="L85" s="434"/>
      <c r="M85" s="434"/>
      <c r="N85" s="434"/>
      <c r="O85" s="434"/>
      <c r="P85" s="434"/>
      <c r="Q85" s="434"/>
      <c r="R85" s="434"/>
      <c r="S85" s="434"/>
      <c r="T85" s="448"/>
      <c r="U85" s="434"/>
      <c r="V85" s="434"/>
      <c r="W85" s="434"/>
      <c r="X85" s="434"/>
      <c r="Y85" s="434"/>
      <c r="Z85" s="434"/>
      <c r="AA85" s="434"/>
      <c r="AB85" s="434"/>
      <c r="AC85" s="434"/>
      <c r="AD85" s="434"/>
      <c r="AE85" s="434"/>
      <c r="AF85" s="434"/>
      <c r="AG85" s="434"/>
      <c r="AH85" s="434"/>
      <c r="AI85" s="434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438"/>
      <c r="BL85" s="438"/>
      <c r="BM85" s="1"/>
      <c r="BN85" s="1"/>
      <c r="BO85" s="1"/>
      <c r="BP85" s="1"/>
      <c r="BQ85" s="1"/>
      <c r="BR85" s="1"/>
      <c r="BS85" s="1"/>
      <c r="BT85" s="1"/>
      <c r="BU85" s="1"/>
      <c r="BV85" s="1"/>
    </row>
    <row r="86" spans="1:87" x14ac:dyDescent="0.25">
      <c r="A86" s="6"/>
      <c r="B86" s="6"/>
      <c r="C86" s="6"/>
      <c r="D86" s="6"/>
      <c r="E86" s="16"/>
      <c r="F86" s="16"/>
      <c r="G86" s="16"/>
      <c r="H86" s="16"/>
      <c r="I86" s="16"/>
      <c r="J86" s="16"/>
      <c r="K86" s="6"/>
      <c r="L86" s="434"/>
      <c r="M86" s="434"/>
      <c r="N86" s="434"/>
      <c r="O86" s="434"/>
      <c r="P86" s="434"/>
      <c r="Q86" s="434"/>
      <c r="R86" s="434"/>
      <c r="S86" s="434"/>
      <c r="T86" s="448"/>
      <c r="U86" s="434"/>
      <c r="V86" s="434"/>
      <c r="W86" s="434"/>
      <c r="X86" s="434"/>
      <c r="Y86" s="434"/>
      <c r="Z86" s="434"/>
      <c r="AA86" s="434"/>
      <c r="AB86" s="434"/>
      <c r="AC86" s="434"/>
      <c r="AD86" s="434"/>
      <c r="AE86" s="434"/>
      <c r="AF86" s="434"/>
      <c r="AG86" s="434"/>
      <c r="AH86" s="434"/>
      <c r="AI86" s="434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438"/>
      <c r="BL86" s="438"/>
      <c r="BM86" s="1"/>
      <c r="BN86" s="1"/>
      <c r="BO86" s="1"/>
      <c r="BP86" s="1"/>
      <c r="BQ86" s="1"/>
      <c r="BR86" s="1"/>
      <c r="BS86" s="1"/>
      <c r="BT86" s="1"/>
      <c r="BU86" s="1"/>
      <c r="BV86" s="1"/>
    </row>
    <row r="87" spans="1:87" x14ac:dyDescent="0.25">
      <c r="A87" s="6"/>
      <c r="B87" s="6"/>
      <c r="C87" s="6"/>
      <c r="D87" s="6"/>
      <c r="E87" s="16"/>
      <c r="F87" s="16"/>
      <c r="G87" s="16"/>
      <c r="H87" s="16"/>
      <c r="I87" s="16"/>
      <c r="J87" s="16"/>
      <c r="K87" s="6"/>
      <c r="L87" s="434"/>
      <c r="M87" s="434"/>
      <c r="N87" s="434"/>
      <c r="O87" s="434"/>
      <c r="P87" s="434"/>
      <c r="Q87" s="434"/>
      <c r="R87" s="434"/>
      <c r="S87" s="434"/>
      <c r="T87" s="448"/>
      <c r="U87" s="434"/>
      <c r="V87" s="434"/>
      <c r="W87" s="434"/>
      <c r="X87" s="434"/>
      <c r="Y87" s="434"/>
      <c r="Z87" s="434"/>
      <c r="AA87" s="434"/>
      <c r="AB87" s="434"/>
      <c r="AC87" s="434"/>
      <c r="AD87" s="434"/>
      <c r="AE87" s="434"/>
      <c r="AF87" s="434"/>
      <c r="AG87" s="434"/>
      <c r="AH87" s="434"/>
      <c r="AI87" s="434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438"/>
      <c r="BL87" s="438"/>
      <c r="BM87" s="1"/>
      <c r="BN87" s="1"/>
      <c r="BO87" s="1"/>
      <c r="BP87" s="1"/>
      <c r="BQ87" s="1"/>
      <c r="BR87" s="1"/>
      <c r="BS87" s="1"/>
      <c r="BT87" s="1"/>
      <c r="BU87" s="1"/>
      <c r="BV87" s="1"/>
    </row>
    <row r="88" spans="1:87" x14ac:dyDescent="0.25">
      <c r="A88" s="6"/>
      <c r="B88" s="6"/>
      <c r="C88" s="6"/>
      <c r="D88" s="6"/>
      <c r="E88" s="16"/>
      <c r="F88" s="16"/>
      <c r="G88" s="16"/>
      <c r="H88" s="16"/>
      <c r="I88" s="16"/>
      <c r="J88" s="16"/>
      <c r="K88" s="6"/>
      <c r="L88" s="434"/>
      <c r="M88" s="434"/>
      <c r="N88" s="434"/>
      <c r="O88" s="434"/>
      <c r="P88" s="434"/>
      <c r="Q88" s="434"/>
      <c r="R88" s="434"/>
      <c r="S88" s="434"/>
      <c r="T88" s="448"/>
      <c r="U88" s="434"/>
      <c r="V88" s="434"/>
      <c r="W88" s="434"/>
      <c r="X88" s="434"/>
      <c r="Y88" s="434"/>
      <c r="Z88" s="434"/>
      <c r="AA88" s="434"/>
      <c r="AB88" s="434"/>
      <c r="AC88" s="434"/>
      <c r="AD88" s="434"/>
      <c r="AE88" s="434"/>
      <c r="AF88" s="434"/>
      <c r="AG88" s="434"/>
      <c r="AH88" s="434"/>
      <c r="AI88" s="434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438"/>
      <c r="BL88" s="438"/>
      <c r="BM88" s="1"/>
      <c r="BN88" s="1"/>
      <c r="BO88" s="1"/>
      <c r="BP88" s="1"/>
      <c r="BQ88" s="1"/>
      <c r="BR88" s="1"/>
      <c r="BS88" s="1"/>
      <c r="BT88" s="1"/>
      <c r="BU88" s="1"/>
      <c r="BV88" s="1"/>
    </row>
    <row r="89" spans="1:87" x14ac:dyDescent="0.25">
      <c r="A89" s="6"/>
      <c r="B89" s="6"/>
      <c r="C89" s="6"/>
      <c r="D89" s="6"/>
      <c r="E89" s="16"/>
      <c r="F89" s="16"/>
      <c r="G89" s="16"/>
      <c r="H89" s="16"/>
      <c r="I89" s="16"/>
      <c r="J89" s="16"/>
      <c r="K89" s="6"/>
      <c r="L89" s="434"/>
      <c r="M89" s="434"/>
      <c r="N89" s="434"/>
      <c r="O89" s="434"/>
      <c r="P89" s="434"/>
      <c r="Q89" s="434"/>
      <c r="R89" s="434"/>
      <c r="S89" s="434"/>
      <c r="T89" s="448"/>
      <c r="U89" s="434"/>
      <c r="V89" s="434"/>
      <c r="W89" s="434"/>
      <c r="X89" s="434"/>
      <c r="Y89" s="434"/>
      <c r="Z89" s="434"/>
      <c r="AA89" s="434"/>
      <c r="AB89" s="434"/>
      <c r="AC89" s="434"/>
      <c r="AD89" s="434"/>
      <c r="AE89" s="434"/>
      <c r="AF89" s="434"/>
      <c r="AG89" s="434"/>
      <c r="AH89" s="434"/>
      <c r="AI89" s="434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438"/>
      <c r="BL89" s="438"/>
      <c r="BM89" s="1"/>
      <c r="BN89" s="1"/>
      <c r="BO89" s="1"/>
      <c r="BP89" s="1"/>
      <c r="BQ89" s="1"/>
      <c r="BR89" s="1"/>
      <c r="BS89" s="1"/>
      <c r="BT89" s="1"/>
      <c r="BU89" s="1"/>
      <c r="BV89" s="1"/>
    </row>
    <row r="90" spans="1:87" x14ac:dyDescent="0.25">
      <c r="A90" s="6"/>
      <c r="B90" s="6"/>
      <c r="C90" s="6"/>
      <c r="D90" s="6"/>
      <c r="E90" s="16"/>
      <c r="F90" s="16"/>
      <c r="G90" s="16"/>
      <c r="H90" s="16"/>
      <c r="I90" s="16"/>
      <c r="J90" s="16"/>
      <c r="K90" s="6"/>
      <c r="L90" s="434"/>
      <c r="M90" s="434"/>
      <c r="N90" s="434"/>
      <c r="O90" s="434"/>
      <c r="P90" s="434"/>
      <c r="Q90" s="434"/>
      <c r="R90" s="434"/>
      <c r="S90" s="434"/>
      <c r="T90" s="448"/>
      <c r="U90" s="434"/>
      <c r="V90" s="434"/>
      <c r="W90" s="434"/>
      <c r="X90" s="434"/>
      <c r="Y90" s="434"/>
      <c r="Z90" s="434"/>
      <c r="AA90" s="434"/>
      <c r="AB90" s="434"/>
      <c r="AC90" s="434"/>
      <c r="AD90" s="434"/>
      <c r="AE90" s="434"/>
      <c r="AF90" s="434"/>
      <c r="AG90" s="434"/>
      <c r="AH90" s="434"/>
      <c r="AI90" s="434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438"/>
      <c r="BL90" s="438"/>
      <c r="BM90" s="1"/>
      <c r="BN90" s="1"/>
      <c r="BO90" s="1"/>
      <c r="BP90" s="1"/>
      <c r="BQ90" s="1"/>
      <c r="BR90" s="1"/>
      <c r="BS90" s="1"/>
      <c r="BT90" s="1"/>
      <c r="BU90" s="1"/>
      <c r="BV90" s="1"/>
    </row>
    <row r="91" spans="1:87" x14ac:dyDescent="0.25">
      <c r="A91" s="6"/>
      <c r="B91" s="6"/>
      <c r="C91" s="6"/>
      <c r="D91" s="6"/>
      <c r="E91" s="16"/>
      <c r="F91" s="16"/>
      <c r="G91" s="16"/>
      <c r="H91" s="16"/>
      <c r="I91" s="16"/>
      <c r="J91" s="16"/>
      <c r="K91" s="6"/>
      <c r="L91" s="434"/>
      <c r="M91" s="434"/>
      <c r="N91" s="434"/>
      <c r="O91" s="434"/>
      <c r="P91" s="434"/>
      <c r="Q91" s="434"/>
      <c r="R91" s="434"/>
      <c r="S91" s="434"/>
      <c r="T91" s="448"/>
      <c r="U91" s="434"/>
      <c r="V91" s="434"/>
      <c r="W91" s="434"/>
      <c r="X91" s="434"/>
      <c r="Y91" s="434"/>
      <c r="Z91" s="434"/>
      <c r="AA91" s="434"/>
      <c r="AB91" s="434"/>
      <c r="AC91" s="434"/>
      <c r="AD91" s="434"/>
      <c r="AE91" s="434"/>
      <c r="AF91" s="434"/>
      <c r="AG91" s="434"/>
      <c r="AH91" s="434"/>
      <c r="AI91" s="434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438"/>
      <c r="BL91" s="438"/>
      <c r="BM91" s="1"/>
      <c r="BN91" s="1"/>
      <c r="BO91" s="1"/>
      <c r="BP91" s="1"/>
      <c r="BQ91" s="1"/>
      <c r="BR91" s="1"/>
      <c r="BS91" s="1"/>
      <c r="BT91" s="1"/>
      <c r="BU91" s="1"/>
      <c r="BV91" s="1"/>
    </row>
    <row r="92" spans="1:87" x14ac:dyDescent="0.25">
      <c r="A92" s="6"/>
      <c r="B92" s="6"/>
      <c r="C92" s="6"/>
      <c r="D92" s="6"/>
      <c r="E92" s="16"/>
      <c r="F92" s="16"/>
      <c r="G92" s="16"/>
      <c r="H92" s="16"/>
      <c r="I92" s="16"/>
      <c r="J92" s="16"/>
      <c r="K92" s="6"/>
      <c r="L92" s="434"/>
      <c r="M92" s="434"/>
      <c r="N92" s="434"/>
      <c r="O92" s="434"/>
      <c r="P92" s="434"/>
      <c r="Q92" s="434"/>
      <c r="R92" s="434"/>
      <c r="S92" s="434"/>
      <c r="T92" s="448"/>
      <c r="U92" s="434"/>
      <c r="V92" s="434"/>
      <c r="W92" s="434"/>
      <c r="X92" s="434"/>
      <c r="Y92" s="434"/>
      <c r="Z92" s="434"/>
      <c r="AA92" s="434"/>
      <c r="AB92" s="434"/>
      <c r="AC92" s="434"/>
      <c r="AD92" s="434"/>
      <c r="AE92" s="434"/>
      <c r="AF92" s="434"/>
      <c r="AG92" s="434"/>
      <c r="AH92" s="434"/>
      <c r="AI92" s="434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438"/>
      <c r="BL92" s="438"/>
      <c r="BM92" s="1"/>
      <c r="BN92" s="1"/>
      <c r="BO92" s="1"/>
      <c r="BP92" s="1"/>
      <c r="BQ92" s="1"/>
      <c r="BR92" s="1"/>
      <c r="BS92" s="1"/>
      <c r="BT92" s="1"/>
      <c r="BU92" s="1"/>
      <c r="BV92" s="1"/>
    </row>
    <row r="93" spans="1:87" x14ac:dyDescent="0.25">
      <c r="A93" s="1"/>
      <c r="B93" s="1"/>
      <c r="C93" s="1"/>
      <c r="D93" s="1"/>
      <c r="E93" s="17"/>
      <c r="F93" s="17"/>
      <c r="G93" s="17"/>
      <c r="H93" s="17"/>
      <c r="I93" s="17"/>
      <c r="J93" s="17"/>
      <c r="K93" s="1"/>
      <c r="L93" s="435"/>
      <c r="M93" s="435"/>
      <c r="N93" s="435"/>
      <c r="O93" s="435"/>
      <c r="P93" s="435"/>
      <c r="Q93" s="435"/>
      <c r="R93" s="435"/>
      <c r="S93" s="435"/>
      <c r="U93" s="435"/>
      <c r="V93" s="435"/>
      <c r="W93" s="435"/>
      <c r="X93" s="435"/>
      <c r="Y93" s="435"/>
      <c r="Z93" s="435"/>
      <c r="AA93" s="435"/>
      <c r="AB93" s="435"/>
      <c r="AC93" s="435"/>
      <c r="AD93" s="435"/>
      <c r="AE93" s="435"/>
      <c r="AF93" s="435"/>
      <c r="AG93" s="435"/>
      <c r="AH93" s="435"/>
      <c r="AI93" s="435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439"/>
      <c r="BL93" s="439"/>
      <c r="BM93" s="1"/>
      <c r="BN93" s="1"/>
      <c r="BO93" s="1"/>
      <c r="BP93" s="1"/>
      <c r="BQ93" s="1"/>
      <c r="BR93" s="1"/>
      <c r="BS93" s="1"/>
      <c r="BT93" s="1"/>
      <c r="BU93" s="1"/>
      <c r="BV93" s="1"/>
    </row>
    <row r="94" spans="1:87" x14ac:dyDescent="0.25">
      <c r="A94" s="1"/>
      <c r="B94" s="1"/>
      <c r="C94" s="1"/>
      <c r="D94" s="1"/>
      <c r="E94" s="17"/>
      <c r="F94" s="17"/>
      <c r="G94" s="17"/>
      <c r="H94" s="17"/>
      <c r="I94" s="17"/>
      <c r="J94" s="17"/>
      <c r="K94" s="1"/>
      <c r="L94" s="435"/>
      <c r="M94" s="435"/>
      <c r="N94" s="435"/>
      <c r="O94" s="435"/>
      <c r="P94" s="435"/>
      <c r="Q94" s="435"/>
      <c r="R94" s="435"/>
      <c r="S94" s="435"/>
      <c r="U94" s="435"/>
      <c r="V94" s="435"/>
      <c r="W94" s="435"/>
      <c r="X94" s="435"/>
      <c r="Y94" s="435"/>
      <c r="Z94" s="435"/>
      <c r="AA94" s="435"/>
      <c r="AB94" s="435"/>
      <c r="AC94" s="435"/>
      <c r="AD94" s="435"/>
      <c r="AE94" s="435"/>
      <c r="AF94" s="435"/>
      <c r="AG94" s="435"/>
      <c r="AH94" s="435"/>
      <c r="AI94" s="435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439"/>
      <c r="BL94" s="439"/>
      <c r="BM94" s="1"/>
      <c r="BN94" s="1"/>
      <c r="BO94" s="1"/>
      <c r="BP94" s="1"/>
      <c r="BQ94" s="1"/>
      <c r="BR94" s="1"/>
      <c r="BS94" s="1"/>
      <c r="BT94" s="1"/>
      <c r="BU94" s="1"/>
      <c r="BV94" s="1"/>
    </row>
    <row r="95" spans="1:87" x14ac:dyDescent="0.25">
      <c r="A95" s="1"/>
      <c r="B95" s="1"/>
      <c r="C95" s="1"/>
      <c r="D95" s="1"/>
      <c r="E95" s="17"/>
      <c r="F95" s="17"/>
      <c r="G95" s="17"/>
      <c r="H95" s="17"/>
      <c r="I95" s="17"/>
      <c r="J95" s="17"/>
      <c r="K95" s="1"/>
      <c r="L95" s="435"/>
      <c r="M95" s="435"/>
      <c r="N95" s="435"/>
      <c r="O95" s="435"/>
      <c r="P95" s="435"/>
      <c r="Q95" s="435"/>
      <c r="R95" s="435"/>
      <c r="S95" s="435"/>
      <c r="U95" s="435"/>
      <c r="V95" s="435"/>
      <c r="W95" s="435"/>
      <c r="X95" s="435"/>
      <c r="Y95" s="435"/>
      <c r="Z95" s="435"/>
      <c r="AA95" s="435"/>
      <c r="AB95" s="435"/>
      <c r="AC95" s="435"/>
      <c r="AD95" s="435"/>
      <c r="AE95" s="435"/>
      <c r="AF95" s="435"/>
      <c r="AG95" s="435"/>
      <c r="AH95" s="435"/>
      <c r="AI95" s="435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439"/>
      <c r="BL95" s="439"/>
      <c r="BM95" s="1"/>
      <c r="BN95" s="1"/>
      <c r="BO95" s="1"/>
      <c r="BP95" s="1"/>
      <c r="BQ95" s="1"/>
      <c r="BR95" s="1"/>
      <c r="BS95" s="1"/>
      <c r="BT95" s="1"/>
      <c r="BU95" s="1"/>
      <c r="BV95" s="1"/>
    </row>
    <row r="96" spans="1:87" x14ac:dyDescent="0.25">
      <c r="A96" s="1"/>
      <c r="B96" s="1"/>
      <c r="C96" s="1"/>
      <c r="D96" s="1"/>
      <c r="E96" s="17"/>
      <c r="F96" s="17"/>
      <c r="G96" s="17"/>
      <c r="H96" s="17"/>
      <c r="I96" s="17"/>
      <c r="J96" s="17"/>
      <c r="K96" s="1"/>
      <c r="L96" s="435"/>
      <c r="M96" s="435"/>
      <c r="N96" s="435"/>
      <c r="O96" s="435"/>
      <c r="P96" s="435"/>
      <c r="Q96" s="435"/>
      <c r="R96" s="435"/>
      <c r="S96" s="435"/>
      <c r="U96" s="435"/>
      <c r="V96" s="435"/>
      <c r="W96" s="435"/>
      <c r="X96" s="435"/>
      <c r="Y96" s="435"/>
      <c r="Z96" s="435"/>
      <c r="AA96" s="435"/>
      <c r="AB96" s="435"/>
      <c r="AC96" s="435"/>
      <c r="AD96" s="435"/>
      <c r="AE96" s="435"/>
      <c r="AF96" s="435"/>
      <c r="AG96" s="435"/>
      <c r="AH96" s="435"/>
      <c r="AI96" s="435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439"/>
      <c r="BL96" s="439"/>
      <c r="BM96" s="1"/>
      <c r="BN96" s="1"/>
      <c r="BO96" s="1"/>
      <c r="BP96" s="1"/>
      <c r="BQ96" s="1"/>
      <c r="BR96" s="1"/>
      <c r="BS96" s="1"/>
      <c r="BT96" s="1"/>
      <c r="BU96" s="1"/>
      <c r="BV96" s="1"/>
    </row>
    <row r="97" spans="1:74" x14ac:dyDescent="0.25">
      <c r="A97" s="1"/>
      <c r="B97" s="1"/>
      <c r="C97" s="1"/>
      <c r="D97" s="1"/>
      <c r="E97" s="17"/>
      <c r="F97" s="17"/>
      <c r="G97" s="17"/>
      <c r="H97" s="17"/>
      <c r="I97" s="17"/>
      <c r="J97" s="17"/>
      <c r="K97" s="1"/>
      <c r="L97" s="435"/>
      <c r="M97" s="435"/>
      <c r="N97" s="435"/>
      <c r="O97" s="435"/>
      <c r="P97" s="435"/>
      <c r="Q97" s="435"/>
      <c r="R97" s="435"/>
      <c r="S97" s="435"/>
      <c r="U97" s="435"/>
      <c r="V97" s="435"/>
      <c r="W97" s="435"/>
      <c r="X97" s="435"/>
      <c r="Y97" s="435"/>
      <c r="Z97" s="435"/>
      <c r="AA97" s="435"/>
      <c r="AB97" s="435"/>
      <c r="AC97" s="435"/>
      <c r="AD97" s="435"/>
      <c r="AE97" s="435"/>
      <c r="AF97" s="435"/>
      <c r="AG97" s="435"/>
      <c r="AH97" s="435"/>
      <c r="AI97" s="435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439"/>
      <c r="BL97" s="439"/>
      <c r="BM97" s="1"/>
      <c r="BN97" s="1"/>
      <c r="BO97" s="1"/>
      <c r="BP97" s="1"/>
      <c r="BQ97" s="1"/>
      <c r="BR97" s="1"/>
      <c r="BS97" s="1"/>
      <c r="BT97" s="1"/>
      <c r="BU97" s="1"/>
      <c r="BV97" s="1"/>
    </row>
    <row r="98" spans="1:74" x14ac:dyDescent="0.25">
      <c r="A98" s="1"/>
      <c r="B98" s="1"/>
      <c r="C98" s="1"/>
      <c r="D98" s="1"/>
      <c r="E98" s="17"/>
      <c r="F98" s="17"/>
      <c r="G98" s="17"/>
      <c r="H98" s="17"/>
      <c r="I98" s="17"/>
      <c r="J98" s="17"/>
      <c r="K98" s="1"/>
      <c r="L98" s="435"/>
      <c r="M98" s="435"/>
      <c r="N98" s="435"/>
      <c r="O98" s="435"/>
      <c r="P98" s="435"/>
      <c r="Q98" s="435"/>
      <c r="R98" s="435"/>
      <c r="S98" s="435"/>
      <c r="U98" s="435"/>
      <c r="V98" s="435"/>
      <c r="W98" s="435"/>
      <c r="X98" s="435"/>
      <c r="Y98" s="435"/>
      <c r="Z98" s="435"/>
      <c r="AA98" s="435"/>
      <c r="AB98" s="435"/>
      <c r="AC98" s="435"/>
      <c r="AD98" s="435"/>
      <c r="AE98" s="435"/>
      <c r="AF98" s="435"/>
      <c r="AG98" s="435"/>
      <c r="AH98" s="435"/>
      <c r="AI98" s="435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439"/>
      <c r="BL98" s="439"/>
      <c r="BM98" s="1"/>
      <c r="BN98" s="1"/>
      <c r="BO98" s="1"/>
      <c r="BP98" s="1"/>
      <c r="BQ98" s="1"/>
      <c r="BR98" s="1"/>
      <c r="BS98" s="1"/>
      <c r="BT98" s="1"/>
      <c r="BU98" s="1"/>
      <c r="BV98" s="1"/>
    </row>
    <row r="99" spans="1:74" x14ac:dyDescent="0.25">
      <c r="A99" s="1"/>
      <c r="B99" s="1"/>
      <c r="C99" s="1"/>
      <c r="D99" s="1"/>
      <c r="E99" s="17"/>
      <c r="F99" s="17"/>
      <c r="G99" s="17"/>
      <c r="H99" s="17"/>
      <c r="I99" s="17"/>
      <c r="J99" s="17"/>
      <c r="K99" s="1"/>
      <c r="L99" s="435"/>
      <c r="M99" s="435"/>
      <c r="N99" s="435"/>
      <c r="O99" s="435"/>
      <c r="P99" s="435"/>
      <c r="Q99" s="435"/>
      <c r="R99" s="435"/>
      <c r="S99" s="435"/>
      <c r="U99" s="435"/>
      <c r="V99" s="435"/>
      <c r="W99" s="435"/>
      <c r="X99" s="435"/>
      <c r="Y99" s="435"/>
      <c r="Z99" s="435"/>
      <c r="AA99" s="435"/>
      <c r="AB99" s="435"/>
      <c r="AC99" s="435"/>
      <c r="AD99" s="435"/>
      <c r="AE99" s="435"/>
      <c r="AF99" s="435"/>
      <c r="AG99" s="435"/>
      <c r="AH99" s="435"/>
      <c r="AI99" s="435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439"/>
      <c r="BL99" s="439"/>
      <c r="BM99" s="1"/>
      <c r="BN99" s="1"/>
      <c r="BO99" s="1"/>
      <c r="BP99" s="1"/>
      <c r="BQ99" s="1"/>
      <c r="BR99" s="1"/>
      <c r="BS99" s="1"/>
      <c r="BT99" s="1"/>
      <c r="BU99" s="1"/>
      <c r="BV99" s="1"/>
    </row>
    <row r="100" spans="1:74" x14ac:dyDescent="0.25">
      <c r="A100" s="1"/>
      <c r="B100" s="1"/>
      <c r="C100" s="1"/>
      <c r="D100" s="1"/>
      <c r="E100" s="17"/>
      <c r="F100" s="17"/>
      <c r="G100" s="17"/>
      <c r="H100" s="17"/>
      <c r="I100" s="17"/>
      <c r="J100" s="17"/>
      <c r="K100" s="1"/>
      <c r="L100" s="435"/>
      <c r="M100" s="435"/>
      <c r="N100" s="435"/>
      <c r="O100" s="435"/>
      <c r="P100" s="435"/>
      <c r="Q100" s="435"/>
      <c r="R100" s="435"/>
      <c r="S100" s="435"/>
      <c r="U100" s="435"/>
      <c r="V100" s="435"/>
      <c r="W100" s="435"/>
      <c r="X100" s="435"/>
      <c r="Y100" s="435"/>
      <c r="Z100" s="435"/>
      <c r="AA100" s="435"/>
      <c r="AB100" s="435"/>
      <c r="AC100" s="435"/>
      <c r="AD100" s="435"/>
      <c r="AE100" s="435"/>
      <c r="AF100" s="435"/>
      <c r="AG100" s="435"/>
      <c r="AH100" s="435"/>
      <c r="AI100" s="435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439"/>
      <c r="BL100" s="439"/>
      <c r="BM100" s="1"/>
      <c r="BN100" s="1"/>
      <c r="BO100" s="1"/>
      <c r="BP100" s="1"/>
      <c r="BQ100" s="1"/>
      <c r="BR100" s="1"/>
      <c r="BS100" s="1"/>
      <c r="BT100" s="1"/>
      <c r="BU100" s="1"/>
      <c r="BV100" s="1"/>
    </row>
    <row r="101" spans="1:74" x14ac:dyDescent="0.25">
      <c r="A101" s="1"/>
      <c r="B101" s="1"/>
      <c r="C101" s="1"/>
      <c r="D101" s="1"/>
      <c r="E101" s="17"/>
      <c r="F101" s="17"/>
      <c r="G101" s="17"/>
      <c r="H101" s="17"/>
      <c r="I101" s="17"/>
      <c r="J101" s="17"/>
      <c r="K101" s="1"/>
      <c r="L101" s="435"/>
      <c r="M101" s="435"/>
      <c r="N101" s="435"/>
      <c r="O101" s="435"/>
      <c r="P101" s="435"/>
      <c r="Q101" s="435"/>
      <c r="R101" s="435"/>
      <c r="S101" s="435"/>
      <c r="U101" s="435"/>
      <c r="V101" s="435"/>
      <c r="W101" s="435"/>
      <c r="X101" s="435"/>
      <c r="Y101" s="435"/>
      <c r="Z101" s="435"/>
      <c r="AA101" s="435"/>
      <c r="AB101" s="435"/>
      <c r="AC101" s="435"/>
      <c r="AD101" s="435"/>
      <c r="AE101" s="435"/>
      <c r="AF101" s="435"/>
      <c r="AG101" s="435"/>
      <c r="AH101" s="435"/>
      <c r="AI101" s="435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439"/>
      <c r="BL101" s="439"/>
      <c r="BM101" s="1"/>
      <c r="BN101" s="1"/>
      <c r="BO101" s="1"/>
      <c r="BP101" s="1"/>
      <c r="BQ101" s="1"/>
      <c r="BR101" s="1"/>
      <c r="BS101" s="1"/>
      <c r="BT101" s="1"/>
      <c r="BU101" s="1"/>
      <c r="BV101" s="1"/>
    </row>
    <row r="102" spans="1:74" x14ac:dyDescent="0.25">
      <c r="A102" s="1"/>
      <c r="B102" s="1"/>
      <c r="C102" s="1"/>
      <c r="D102" s="1"/>
      <c r="E102" s="17"/>
      <c r="F102" s="17"/>
      <c r="G102" s="17"/>
      <c r="H102" s="17"/>
      <c r="I102" s="17"/>
      <c r="J102" s="17"/>
      <c r="K102" s="1"/>
      <c r="L102" s="435"/>
      <c r="M102" s="435"/>
      <c r="N102" s="435"/>
      <c r="O102" s="435"/>
      <c r="P102" s="435"/>
      <c r="Q102" s="435"/>
      <c r="R102" s="435"/>
      <c r="S102" s="435"/>
      <c r="U102" s="435"/>
      <c r="V102" s="435"/>
      <c r="W102" s="435"/>
      <c r="X102" s="435"/>
      <c r="Y102" s="435"/>
      <c r="Z102" s="435"/>
      <c r="AA102" s="435"/>
      <c r="AB102" s="435"/>
      <c r="AC102" s="435"/>
      <c r="AD102" s="435"/>
      <c r="AE102" s="435"/>
      <c r="AF102" s="435"/>
      <c r="AG102" s="435"/>
      <c r="AH102" s="435"/>
      <c r="AI102" s="435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439"/>
      <c r="BL102" s="439"/>
      <c r="BM102" s="1"/>
      <c r="BN102" s="1"/>
      <c r="BO102" s="1"/>
      <c r="BP102" s="1"/>
      <c r="BQ102" s="1"/>
      <c r="BR102" s="1"/>
      <c r="BS102" s="1"/>
      <c r="BT102" s="1"/>
      <c r="BU102" s="1"/>
      <c r="BV102" s="1"/>
    </row>
    <row r="103" spans="1:74" x14ac:dyDescent="0.25">
      <c r="A103" s="1"/>
      <c r="B103" s="1"/>
      <c r="C103" s="1"/>
      <c r="D103" s="1"/>
      <c r="E103" s="17"/>
      <c r="F103" s="17"/>
      <c r="G103" s="17"/>
      <c r="H103" s="17"/>
      <c r="I103" s="17"/>
      <c r="J103" s="17"/>
      <c r="K103" s="1"/>
      <c r="L103" s="435"/>
      <c r="M103" s="435"/>
      <c r="N103" s="435"/>
      <c r="O103" s="435"/>
      <c r="P103" s="435"/>
      <c r="Q103" s="435"/>
      <c r="R103" s="435"/>
      <c r="S103" s="435"/>
      <c r="U103" s="435"/>
      <c r="V103" s="435"/>
      <c r="W103" s="435"/>
      <c r="X103" s="435"/>
      <c r="Y103" s="435"/>
      <c r="Z103" s="435"/>
      <c r="AA103" s="435"/>
      <c r="AB103" s="435"/>
      <c r="AC103" s="435"/>
      <c r="AD103" s="435"/>
      <c r="AE103" s="435"/>
      <c r="AF103" s="435"/>
      <c r="AG103" s="435"/>
      <c r="AH103" s="435"/>
      <c r="AI103" s="435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439"/>
      <c r="BL103" s="439"/>
      <c r="BM103" s="1"/>
      <c r="BN103" s="1"/>
      <c r="BO103" s="1"/>
      <c r="BP103" s="1"/>
      <c r="BQ103" s="1"/>
      <c r="BR103" s="1"/>
      <c r="BS103" s="1"/>
      <c r="BT103" s="1"/>
      <c r="BU103" s="1"/>
      <c r="BV103" s="1"/>
    </row>
    <row r="104" spans="1:74" x14ac:dyDescent="0.25">
      <c r="A104" s="1"/>
      <c r="B104" s="1"/>
      <c r="C104" s="1"/>
      <c r="D104" s="1"/>
      <c r="E104" s="17"/>
      <c r="F104" s="17"/>
      <c r="G104" s="17"/>
      <c r="H104" s="17"/>
      <c r="I104" s="17"/>
      <c r="J104" s="17"/>
      <c r="K104" s="1"/>
      <c r="L104" s="435"/>
      <c r="M104" s="435"/>
      <c r="N104" s="435"/>
      <c r="O104" s="435"/>
      <c r="P104" s="435"/>
      <c r="Q104" s="435"/>
      <c r="R104" s="435"/>
      <c r="S104" s="435"/>
      <c r="U104" s="435"/>
      <c r="V104" s="435"/>
      <c r="W104" s="435"/>
      <c r="X104" s="435"/>
      <c r="Y104" s="435"/>
      <c r="Z104" s="435"/>
      <c r="AA104" s="435"/>
      <c r="AB104" s="435"/>
      <c r="AC104" s="435"/>
      <c r="AD104" s="435"/>
      <c r="AE104" s="435"/>
      <c r="AF104" s="435"/>
      <c r="AG104" s="435"/>
      <c r="AH104" s="435"/>
      <c r="AI104" s="435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439"/>
      <c r="BL104" s="439"/>
      <c r="BM104" s="1"/>
      <c r="BN104" s="1"/>
      <c r="BO104" s="1"/>
      <c r="BP104" s="1"/>
      <c r="BQ104" s="1"/>
      <c r="BR104" s="1"/>
      <c r="BS104" s="1"/>
      <c r="BT104" s="1"/>
      <c r="BU104" s="1"/>
      <c r="BV104" s="1"/>
    </row>
    <row r="105" spans="1:74" x14ac:dyDescent="0.25">
      <c r="A105" s="1"/>
      <c r="B105" s="1"/>
      <c r="C105" s="1"/>
      <c r="D105" s="1"/>
      <c r="E105" s="17"/>
      <c r="F105" s="17"/>
      <c r="G105" s="17"/>
      <c r="H105" s="17"/>
      <c r="I105" s="17"/>
      <c r="J105" s="17"/>
      <c r="K105" s="1"/>
      <c r="L105" s="435"/>
      <c r="M105" s="435"/>
      <c r="N105" s="435"/>
      <c r="O105" s="435"/>
      <c r="P105" s="435"/>
      <c r="Q105" s="435"/>
      <c r="R105" s="435"/>
      <c r="S105" s="435"/>
      <c r="U105" s="435"/>
      <c r="V105" s="435"/>
      <c r="W105" s="435"/>
      <c r="X105" s="435"/>
      <c r="Y105" s="435"/>
      <c r="Z105" s="435"/>
      <c r="AA105" s="435"/>
      <c r="AB105" s="435"/>
      <c r="AC105" s="435"/>
      <c r="AD105" s="435"/>
      <c r="AE105" s="435"/>
      <c r="AF105" s="435"/>
      <c r="AG105" s="435"/>
      <c r="AH105" s="435"/>
      <c r="AI105" s="435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439"/>
      <c r="BL105" s="439"/>
      <c r="BM105" s="1"/>
      <c r="BN105" s="1"/>
      <c r="BO105" s="1"/>
      <c r="BP105" s="1"/>
      <c r="BQ105" s="1"/>
      <c r="BR105" s="1"/>
      <c r="BS105" s="1"/>
      <c r="BT105" s="1"/>
      <c r="BU105" s="1"/>
      <c r="BV105" s="1"/>
    </row>
    <row r="106" spans="1:74" x14ac:dyDescent="0.25">
      <c r="A106" s="1"/>
      <c r="B106" s="1"/>
      <c r="C106" s="1"/>
      <c r="D106" s="1"/>
      <c r="E106" s="17"/>
      <c r="F106" s="17"/>
      <c r="G106" s="17"/>
      <c r="H106" s="17"/>
      <c r="I106" s="17"/>
      <c r="J106" s="17"/>
      <c r="K106" s="1"/>
      <c r="L106" s="435"/>
      <c r="M106" s="435"/>
      <c r="N106" s="435"/>
      <c r="O106" s="435"/>
      <c r="P106" s="435"/>
      <c r="Q106" s="435"/>
      <c r="R106" s="435"/>
      <c r="S106" s="435"/>
      <c r="U106" s="435"/>
      <c r="V106" s="435"/>
      <c r="W106" s="435"/>
      <c r="X106" s="435"/>
      <c r="Y106" s="435"/>
      <c r="Z106" s="435"/>
      <c r="AA106" s="435"/>
      <c r="AB106" s="435"/>
      <c r="AC106" s="435"/>
      <c r="AD106" s="435"/>
      <c r="AE106" s="435"/>
      <c r="AF106" s="435"/>
      <c r="AG106" s="435"/>
      <c r="AH106" s="435"/>
      <c r="AI106" s="435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439"/>
      <c r="BL106" s="439"/>
      <c r="BM106" s="1"/>
      <c r="BN106" s="1"/>
      <c r="BO106" s="1"/>
      <c r="BP106" s="1"/>
      <c r="BQ106" s="1"/>
      <c r="BR106" s="1"/>
      <c r="BS106" s="1"/>
      <c r="BT106" s="1"/>
      <c r="BU106" s="1"/>
      <c r="BV106" s="1"/>
    </row>
    <row r="107" spans="1:74" x14ac:dyDescent="0.25">
      <c r="A107" s="1"/>
      <c r="B107" s="1"/>
      <c r="C107" s="1"/>
      <c r="D107" s="1"/>
      <c r="E107" s="17"/>
      <c r="F107" s="17"/>
      <c r="G107" s="17"/>
      <c r="H107" s="17"/>
      <c r="I107" s="17"/>
      <c r="J107" s="17"/>
      <c r="K107" s="1"/>
      <c r="L107" s="435"/>
      <c r="M107" s="435"/>
      <c r="N107" s="435"/>
      <c r="O107" s="435"/>
      <c r="P107" s="435"/>
      <c r="Q107" s="435"/>
      <c r="R107" s="435"/>
      <c r="S107" s="435"/>
      <c r="U107" s="435"/>
      <c r="V107" s="435"/>
      <c r="W107" s="435"/>
      <c r="X107" s="435"/>
      <c r="Y107" s="435"/>
      <c r="Z107" s="435"/>
      <c r="AA107" s="435"/>
      <c r="AB107" s="435"/>
      <c r="AC107" s="435"/>
      <c r="AD107" s="435"/>
      <c r="AE107" s="435"/>
      <c r="AF107" s="435"/>
      <c r="AG107" s="435"/>
      <c r="AH107" s="435"/>
      <c r="AI107" s="435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439"/>
      <c r="BL107" s="439"/>
      <c r="BM107" s="1"/>
      <c r="BN107" s="1"/>
      <c r="BO107" s="1"/>
      <c r="BP107" s="1"/>
      <c r="BQ107" s="1"/>
      <c r="BR107" s="1"/>
      <c r="BS107" s="1"/>
      <c r="BT107" s="1"/>
      <c r="BU107" s="1"/>
      <c r="BV107" s="1"/>
    </row>
    <row r="108" spans="1:74" x14ac:dyDescent="0.25">
      <c r="A108" s="1"/>
      <c r="B108" s="1"/>
      <c r="C108" s="1"/>
      <c r="D108" s="1"/>
      <c r="E108" s="17"/>
      <c r="F108" s="17"/>
      <c r="G108" s="17"/>
      <c r="H108" s="17"/>
      <c r="I108" s="17"/>
      <c r="J108" s="17"/>
      <c r="K108" s="1"/>
      <c r="L108" s="435"/>
      <c r="M108" s="435"/>
      <c r="N108" s="435"/>
      <c r="O108" s="435"/>
      <c r="P108" s="435"/>
      <c r="Q108" s="435"/>
      <c r="R108" s="435"/>
      <c r="S108" s="435"/>
      <c r="U108" s="435"/>
      <c r="V108" s="435"/>
      <c r="W108" s="435"/>
      <c r="X108" s="435"/>
      <c r="Y108" s="435"/>
      <c r="Z108" s="435"/>
      <c r="AA108" s="435"/>
      <c r="AB108" s="435"/>
      <c r="AC108" s="435"/>
      <c r="AD108" s="435"/>
      <c r="AE108" s="435"/>
      <c r="AF108" s="435"/>
      <c r="AG108" s="435"/>
      <c r="AH108" s="435"/>
      <c r="AI108" s="435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439"/>
      <c r="BL108" s="439"/>
      <c r="BM108" s="1"/>
      <c r="BN108" s="1"/>
      <c r="BO108" s="1"/>
      <c r="BP108" s="1"/>
      <c r="BQ108" s="1"/>
      <c r="BR108" s="1"/>
      <c r="BS108" s="1"/>
      <c r="BT108" s="1"/>
      <c r="BU108" s="1"/>
      <c r="BV108" s="1"/>
    </row>
  </sheetData>
  <mergeCells count="187">
    <mergeCell ref="FT3:FT5"/>
    <mergeCell ref="FU3:FU5"/>
    <mergeCell ref="FV3:FV5"/>
    <mergeCell ref="FR3:FR5"/>
    <mergeCell ref="FS3:FS5"/>
    <mergeCell ref="FO3:FO5"/>
    <mergeCell ref="A6:A38"/>
    <mergeCell ref="A39:BL39"/>
    <mergeCell ref="V4:V5"/>
    <mergeCell ref="X4:X5"/>
    <mergeCell ref="Y4:Y5"/>
    <mergeCell ref="Z4:Z5"/>
    <mergeCell ref="AA4:AA5"/>
    <mergeCell ref="AB4:AB5"/>
    <mergeCell ref="P4:P5"/>
    <mergeCell ref="Q4:Q5"/>
    <mergeCell ref="R4:R5"/>
    <mergeCell ref="S4:S5"/>
    <mergeCell ref="T4:T5"/>
    <mergeCell ref="U4:U5"/>
    <mergeCell ref="BD3:BD5"/>
    <mergeCell ref="BE3:BE5"/>
    <mergeCell ref="BF3:BF5"/>
    <mergeCell ref="BG3:BG5"/>
    <mergeCell ref="FN3:FN5"/>
    <mergeCell ref="F4:F5"/>
    <mergeCell ref="G4:G5"/>
    <mergeCell ref="H4:H5"/>
    <mergeCell ref="I4:I5"/>
    <mergeCell ref="J4:J5"/>
    <mergeCell ref="K4:K5"/>
    <mergeCell ref="M4:M5"/>
    <mergeCell ref="N4:N5"/>
    <mergeCell ref="O4:O5"/>
    <mergeCell ref="FH3:FH5"/>
    <mergeCell ref="FI3:FI5"/>
    <mergeCell ref="FJ3:FJ5"/>
    <mergeCell ref="FK3:FK5"/>
    <mergeCell ref="FL3:FL5"/>
    <mergeCell ref="FM3:FM5"/>
    <mergeCell ref="FB3:FB5"/>
    <mergeCell ref="FC3:FC5"/>
    <mergeCell ref="FD3:FD5"/>
    <mergeCell ref="FE3:FE5"/>
    <mergeCell ref="FF3:FF5"/>
    <mergeCell ref="FG3:FG5"/>
    <mergeCell ref="EV3:EV5"/>
    <mergeCell ref="EW3:EW5"/>
    <mergeCell ref="EX3:EX5"/>
    <mergeCell ref="EY3:EY5"/>
    <mergeCell ref="EZ3:EZ5"/>
    <mergeCell ref="FA3:FA5"/>
    <mergeCell ref="EP3:EP5"/>
    <mergeCell ref="EQ3:EQ5"/>
    <mergeCell ref="ER3:ER5"/>
    <mergeCell ref="ES3:ES5"/>
    <mergeCell ref="ET3:ET5"/>
    <mergeCell ref="EU3:EU5"/>
    <mergeCell ref="EJ3:EJ5"/>
    <mergeCell ref="EK3:EK5"/>
    <mergeCell ref="EL3:EL5"/>
    <mergeCell ref="EM3:EM5"/>
    <mergeCell ref="EN3:EN5"/>
    <mergeCell ref="EO3:EO5"/>
    <mergeCell ref="ED3:ED5"/>
    <mergeCell ref="EE3:EE5"/>
    <mergeCell ref="EF3:EF5"/>
    <mergeCell ref="EG3:EG5"/>
    <mergeCell ref="EH3:EH5"/>
    <mergeCell ref="EI3:EI5"/>
    <mergeCell ref="DX3:DX5"/>
    <mergeCell ref="DY3:DY5"/>
    <mergeCell ref="DZ3:DZ5"/>
    <mergeCell ref="EA3:EA5"/>
    <mergeCell ref="EB3:EB5"/>
    <mergeCell ref="EC3:EC5"/>
    <mergeCell ref="DR3:DR5"/>
    <mergeCell ref="DS3:DS5"/>
    <mergeCell ref="DT3:DT5"/>
    <mergeCell ref="DU3:DU5"/>
    <mergeCell ref="DV3:DV5"/>
    <mergeCell ref="DW3:DW5"/>
    <mergeCell ref="DL3:DL5"/>
    <mergeCell ref="DM3:DM5"/>
    <mergeCell ref="DN3:DN5"/>
    <mergeCell ref="DO3:DO5"/>
    <mergeCell ref="DP3:DP5"/>
    <mergeCell ref="DQ3:DQ5"/>
    <mergeCell ref="DF3:DF5"/>
    <mergeCell ref="DG3:DG5"/>
    <mergeCell ref="DH3:DH5"/>
    <mergeCell ref="DI3:DI5"/>
    <mergeCell ref="DJ3:DJ5"/>
    <mergeCell ref="DK3:DK5"/>
    <mergeCell ref="CZ3:CZ5"/>
    <mergeCell ref="DA3:DA5"/>
    <mergeCell ref="DB3:DB5"/>
    <mergeCell ref="DC3:DC5"/>
    <mergeCell ref="DD3:DD5"/>
    <mergeCell ref="DE3:DE5"/>
    <mergeCell ref="CT3:CT5"/>
    <mergeCell ref="CU3:CU5"/>
    <mergeCell ref="CV3:CV5"/>
    <mergeCell ref="CW3:CW5"/>
    <mergeCell ref="CX3:CX5"/>
    <mergeCell ref="CY3:CY5"/>
    <mergeCell ref="CN3:CN5"/>
    <mergeCell ref="CO3:CO5"/>
    <mergeCell ref="CP3:CP5"/>
    <mergeCell ref="CQ3:CQ5"/>
    <mergeCell ref="CR3:CR5"/>
    <mergeCell ref="CS3:CS5"/>
    <mergeCell ref="CH3:CH5"/>
    <mergeCell ref="CI3:CI5"/>
    <mergeCell ref="CJ3:CJ5"/>
    <mergeCell ref="CK3:CK5"/>
    <mergeCell ref="CL3:CL5"/>
    <mergeCell ref="CM3:CM5"/>
    <mergeCell ref="CB3:CB5"/>
    <mergeCell ref="CC3:CC5"/>
    <mergeCell ref="CD3:CD5"/>
    <mergeCell ref="CE3:CE5"/>
    <mergeCell ref="CF3:CF5"/>
    <mergeCell ref="CG3:CG5"/>
    <mergeCell ref="BV3:BV5"/>
    <mergeCell ref="BW3:BW5"/>
    <mergeCell ref="BX3:BX5"/>
    <mergeCell ref="BY3:BY5"/>
    <mergeCell ref="BZ3:BZ5"/>
    <mergeCell ref="CA3:CA5"/>
    <mergeCell ref="BR3:BR5"/>
    <mergeCell ref="BS3:BS5"/>
    <mergeCell ref="BT3:BT5"/>
    <mergeCell ref="BU3:BU5"/>
    <mergeCell ref="BJ3:BJ5"/>
    <mergeCell ref="BK3:BK5"/>
    <mergeCell ref="BL3:BL5"/>
    <mergeCell ref="BM3:BM5"/>
    <mergeCell ref="BN3:BN5"/>
    <mergeCell ref="BO3:BO5"/>
    <mergeCell ref="AK3:AK5"/>
    <mergeCell ref="AC4:AC5"/>
    <mergeCell ref="AD4:AD5"/>
    <mergeCell ref="AG4:AG5"/>
    <mergeCell ref="AH4:AH5"/>
    <mergeCell ref="AI4:AI5"/>
    <mergeCell ref="AY3:AY5"/>
    <mergeCell ref="BP3:BP5"/>
    <mergeCell ref="BQ3:BQ5"/>
    <mergeCell ref="BA3:BA5"/>
    <mergeCell ref="BB3:BB5"/>
    <mergeCell ref="BC3:BC5"/>
    <mergeCell ref="AR3:AR5"/>
    <mergeCell ref="AS3:AS5"/>
    <mergeCell ref="AT3:AT5"/>
    <mergeCell ref="AU3:AU5"/>
    <mergeCell ref="AV3:AV5"/>
    <mergeCell ref="AW3:AW5"/>
    <mergeCell ref="AE4:AE5"/>
    <mergeCell ref="AF4:AF5"/>
    <mergeCell ref="BH3:BH5"/>
    <mergeCell ref="BI3:BI5"/>
    <mergeCell ref="AX3:AX5"/>
    <mergeCell ref="FP3:FP5"/>
    <mergeCell ref="FQ3:FQ5"/>
    <mergeCell ref="A1:FM1"/>
    <mergeCell ref="AU2:AX2"/>
    <mergeCell ref="A3:A5"/>
    <mergeCell ref="B3:B5"/>
    <mergeCell ref="C3:C5"/>
    <mergeCell ref="D3:D5"/>
    <mergeCell ref="E3:E5"/>
    <mergeCell ref="F3:K3"/>
    <mergeCell ref="L3:L5"/>
    <mergeCell ref="M3:V3"/>
    <mergeCell ref="AL3:AL5"/>
    <mergeCell ref="AM3:AM5"/>
    <mergeCell ref="AN3:AN5"/>
    <mergeCell ref="AO3:AO5"/>
    <mergeCell ref="AP3:AP5"/>
    <mergeCell ref="AQ3:AQ5"/>
    <mergeCell ref="W3:W5"/>
    <mergeCell ref="X3:AA3"/>
    <mergeCell ref="AB3:AE3"/>
    <mergeCell ref="AF3:AI3"/>
    <mergeCell ref="AJ3:AJ5"/>
    <mergeCell ref="AZ3:AZ5"/>
  </mergeCells>
  <pageMargins left="0.23622047244094491" right="0.23622047244094491" top="0.39370078740157483" bottom="0.23622047244094491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40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30" sqref="G30"/>
    </sheetView>
  </sheetViews>
  <sheetFormatPr defaultColWidth="9.140625" defaultRowHeight="12.75" x14ac:dyDescent="0.2"/>
  <cols>
    <col min="1" max="1" width="65" style="20" customWidth="1"/>
    <col min="2" max="2" width="7.85546875" style="20" customWidth="1"/>
    <col min="3" max="3" width="5.7109375" style="20" bestFit="1" customWidth="1"/>
    <col min="4" max="4" width="7.42578125" style="20" customWidth="1"/>
    <col min="5" max="5" width="5.7109375" style="20" bestFit="1" customWidth="1"/>
    <col min="6" max="6" width="9" style="20" bestFit="1" customWidth="1"/>
    <col min="7" max="7" width="5.7109375" style="20" bestFit="1" customWidth="1"/>
    <col min="8" max="8" width="7.85546875" style="46" customWidth="1"/>
    <col min="9" max="9" width="5.7109375" style="46" bestFit="1" customWidth="1"/>
    <col min="10" max="10" width="11" style="20" customWidth="1"/>
    <col min="11" max="11" width="9.140625" style="20" customWidth="1"/>
    <col min="12" max="12" width="10.28515625" style="20" customWidth="1"/>
    <col min="13" max="13" width="8.85546875" style="20" customWidth="1"/>
    <col min="14" max="14" width="9.85546875" style="20" customWidth="1"/>
    <col min="15" max="15" width="11.85546875" style="20" customWidth="1"/>
    <col min="16" max="16" width="12.28515625" style="2" customWidth="1"/>
    <col min="17" max="17" width="10" style="2" bestFit="1" customWidth="1"/>
    <col min="18" max="16384" width="9.140625" style="2"/>
  </cols>
  <sheetData>
    <row r="1" spans="1:16" x14ac:dyDescent="0.2">
      <c r="A1" s="114"/>
      <c r="L1" s="2108" t="s">
        <v>134</v>
      </c>
      <c r="M1" s="2108"/>
      <c r="N1" s="2108"/>
      <c r="O1" s="2108"/>
    </row>
    <row r="2" spans="1:16" ht="16.5" thickBot="1" x14ac:dyDescent="0.3">
      <c r="A2" s="2131" t="s">
        <v>862</v>
      </c>
      <c r="B2" s="2131"/>
      <c r="C2" s="2131"/>
      <c r="D2" s="2131"/>
      <c r="E2" s="2131"/>
      <c r="F2" s="2131"/>
      <c r="G2" s="2131"/>
      <c r="H2" s="2131"/>
      <c r="I2" s="2131"/>
      <c r="J2" s="2131"/>
      <c r="K2" s="2131"/>
      <c r="L2" s="2131"/>
      <c r="M2" s="2131"/>
      <c r="N2" s="2131"/>
      <c r="O2" s="2131"/>
    </row>
    <row r="3" spans="1:16" x14ac:dyDescent="0.2">
      <c r="A3" s="2132" t="s">
        <v>135</v>
      </c>
      <c r="B3" s="2135" t="s">
        <v>27</v>
      </c>
      <c r="C3" s="2136"/>
      <c r="D3" s="2136"/>
      <c r="E3" s="2136"/>
      <c r="F3" s="2136"/>
      <c r="G3" s="2136"/>
      <c r="H3" s="2136"/>
      <c r="I3" s="2136"/>
      <c r="J3" s="2136"/>
      <c r="K3" s="2136"/>
      <c r="L3" s="2136"/>
      <c r="M3" s="2136"/>
      <c r="N3" s="2136"/>
      <c r="O3" s="2137"/>
    </row>
    <row r="4" spans="1:16" ht="23.25" customHeight="1" x14ac:dyDescent="0.2">
      <c r="A4" s="2133"/>
      <c r="B4" s="2138" t="s">
        <v>142</v>
      </c>
      <c r="C4" s="2139"/>
      <c r="D4" s="2140" t="s">
        <v>136</v>
      </c>
      <c r="E4" s="2140"/>
      <c r="F4" s="2141" t="s">
        <v>137</v>
      </c>
      <c r="G4" s="2139"/>
      <c r="H4" s="2142" t="s">
        <v>324</v>
      </c>
      <c r="I4" s="2143"/>
      <c r="J4" s="2144" t="s">
        <v>138</v>
      </c>
      <c r="K4" s="2145"/>
      <c r="L4" s="2145"/>
      <c r="M4" s="2145"/>
      <c r="N4" s="2146"/>
      <c r="O4" s="2147" t="s">
        <v>139</v>
      </c>
    </row>
    <row r="5" spans="1:16" ht="13.5" thickBot="1" x14ac:dyDescent="0.25">
      <c r="A5" s="2134"/>
      <c r="B5" s="22" t="s">
        <v>140</v>
      </c>
      <c r="C5" s="23" t="s">
        <v>141</v>
      </c>
      <c r="D5" s="24" t="s">
        <v>140</v>
      </c>
      <c r="E5" s="24" t="s">
        <v>141</v>
      </c>
      <c r="F5" s="24" t="s">
        <v>140</v>
      </c>
      <c r="G5" s="25" t="s">
        <v>141</v>
      </c>
      <c r="H5" s="26" t="s">
        <v>140</v>
      </c>
      <c r="I5" s="27" t="s">
        <v>141</v>
      </c>
      <c r="J5" s="21" t="s">
        <v>142</v>
      </c>
      <c r="K5" s="21" t="s">
        <v>136</v>
      </c>
      <c r="L5" s="21" t="s">
        <v>143</v>
      </c>
      <c r="M5" s="21" t="s">
        <v>144</v>
      </c>
      <c r="N5" s="21" t="s">
        <v>145</v>
      </c>
      <c r="O5" s="2130"/>
    </row>
    <row r="6" spans="1:16" s="71" customFormat="1" ht="22.5" hidden="1" customHeight="1" x14ac:dyDescent="0.2">
      <c r="A6" s="205"/>
      <c r="B6" s="201"/>
      <c r="C6" s="72"/>
      <c r="D6" s="72"/>
      <c r="E6" s="72">
        <v>59</v>
      </c>
      <c r="F6" s="74">
        <v>0</v>
      </c>
      <c r="G6" s="72"/>
      <c r="H6" s="74">
        <v>0</v>
      </c>
      <c r="I6" s="72">
        <v>1</v>
      </c>
      <c r="J6" s="72">
        <f t="shared" ref="J6:J48" si="0">B6*C6</f>
        <v>0</v>
      </c>
      <c r="K6" s="72">
        <f t="shared" ref="K6:K48" si="1">D6*E6</f>
        <v>0</v>
      </c>
      <c r="L6" s="72">
        <f t="shared" ref="L6:L48" si="2">F6*G6</f>
        <v>0</v>
      </c>
      <c r="M6" s="72">
        <f t="shared" ref="M6:M48" si="3">H6*I6</f>
        <v>0</v>
      </c>
      <c r="N6" s="72">
        <f t="shared" ref="N6:N48" si="4">L6+M6</f>
        <v>0</v>
      </c>
      <c r="O6" s="75">
        <f>J6+K6+N6</f>
        <v>0</v>
      </c>
    </row>
    <row r="7" spans="1:16" s="71" customFormat="1" ht="16.5" hidden="1" customHeight="1" x14ac:dyDescent="0.2">
      <c r="A7" s="206"/>
      <c r="B7" s="202"/>
      <c r="C7" s="69"/>
      <c r="D7" s="69"/>
      <c r="E7" s="69"/>
      <c r="F7" s="76"/>
      <c r="G7" s="69"/>
      <c r="H7" s="76"/>
      <c r="I7" s="69">
        <v>1</v>
      </c>
      <c r="J7" s="69">
        <f t="shared" si="0"/>
        <v>0</v>
      </c>
      <c r="K7" s="69">
        <f t="shared" si="1"/>
        <v>0</v>
      </c>
      <c r="L7" s="69">
        <f t="shared" si="2"/>
        <v>0</v>
      </c>
      <c r="M7" s="69">
        <f t="shared" si="3"/>
        <v>0</v>
      </c>
      <c r="N7" s="69">
        <f t="shared" si="4"/>
        <v>0</v>
      </c>
      <c r="O7" s="70">
        <f>J7+K7+N7</f>
        <v>0</v>
      </c>
    </row>
    <row r="8" spans="1:16" s="51" customFormat="1" ht="19.5" hidden="1" customHeight="1" x14ac:dyDescent="0.2">
      <c r="A8" s="183"/>
      <c r="B8" s="181"/>
      <c r="C8" s="28"/>
      <c r="D8" s="28"/>
      <c r="E8" s="28"/>
      <c r="F8" s="28"/>
      <c r="G8" s="28"/>
      <c r="H8" s="28">
        <f t="shared" ref="H8" si="5">F8</f>
        <v>0</v>
      </c>
      <c r="I8" s="28">
        <v>1</v>
      </c>
      <c r="J8" s="28">
        <f t="shared" si="0"/>
        <v>0</v>
      </c>
      <c r="K8" s="28">
        <f t="shared" si="1"/>
        <v>0</v>
      </c>
      <c r="L8" s="28">
        <f t="shared" si="2"/>
        <v>0</v>
      </c>
      <c r="M8" s="28">
        <f t="shared" si="3"/>
        <v>0</v>
      </c>
      <c r="N8" s="28">
        <f t="shared" si="4"/>
        <v>0</v>
      </c>
      <c r="O8" s="29">
        <f>J8+K8+L8+M8</f>
        <v>0</v>
      </c>
    </row>
    <row r="9" spans="1:16" s="51" customFormat="1" ht="28.5" hidden="1" customHeight="1" x14ac:dyDescent="0.2">
      <c r="A9" s="184"/>
      <c r="B9" s="181"/>
      <c r="C9" s="28"/>
      <c r="D9" s="28"/>
      <c r="E9" s="28">
        <v>18</v>
      </c>
      <c r="F9" s="28"/>
      <c r="G9" s="28">
        <v>19</v>
      </c>
      <c r="H9" s="28"/>
      <c r="I9" s="28">
        <v>1</v>
      </c>
      <c r="J9" s="28">
        <f t="shared" si="0"/>
        <v>0</v>
      </c>
      <c r="K9" s="28">
        <f t="shared" si="1"/>
        <v>0</v>
      </c>
      <c r="L9" s="28">
        <f t="shared" si="2"/>
        <v>0</v>
      </c>
      <c r="M9" s="28">
        <f t="shared" si="3"/>
        <v>0</v>
      </c>
      <c r="N9" s="28">
        <f t="shared" si="4"/>
        <v>0</v>
      </c>
      <c r="O9" s="29">
        <f t="shared" ref="O9:O10" si="6">J9+K9+N9</f>
        <v>0</v>
      </c>
    </row>
    <row r="10" spans="1:16" s="51" customFormat="1" ht="30" hidden="1" customHeight="1" x14ac:dyDescent="0.2">
      <c r="A10" s="184"/>
      <c r="B10" s="181"/>
      <c r="C10" s="28"/>
      <c r="D10" s="28"/>
      <c r="E10" s="28"/>
      <c r="F10" s="28"/>
      <c r="G10" s="28"/>
      <c r="H10" s="28">
        <f t="shared" ref="H10" si="7">F10</f>
        <v>0</v>
      </c>
      <c r="I10" s="28">
        <v>1</v>
      </c>
      <c r="J10" s="28">
        <f t="shared" si="0"/>
        <v>0</v>
      </c>
      <c r="K10" s="28">
        <f t="shared" si="1"/>
        <v>0</v>
      </c>
      <c r="L10" s="28">
        <f t="shared" si="2"/>
        <v>0</v>
      </c>
      <c r="M10" s="28">
        <f t="shared" si="3"/>
        <v>0</v>
      </c>
      <c r="N10" s="28">
        <f t="shared" si="4"/>
        <v>0</v>
      </c>
      <c r="O10" s="29">
        <f t="shared" si="6"/>
        <v>0</v>
      </c>
    </row>
    <row r="11" spans="1:16" s="51" customFormat="1" ht="30" hidden="1" customHeight="1" thickBot="1" x14ac:dyDescent="0.25">
      <c r="A11" s="184">
        <f>Программа!B57</f>
        <v>0</v>
      </c>
      <c r="B11" s="182"/>
      <c r="C11" s="162"/>
      <c r="D11" s="162"/>
      <c r="E11" s="162">
        <v>40</v>
      </c>
      <c r="F11" s="162"/>
      <c r="G11" s="162">
        <v>42</v>
      </c>
      <c r="H11" s="162"/>
      <c r="I11" s="162">
        <v>1</v>
      </c>
      <c r="J11" s="162"/>
      <c r="K11" s="162">
        <f t="shared" si="1"/>
        <v>0</v>
      </c>
      <c r="L11" s="162">
        <f t="shared" si="2"/>
        <v>0</v>
      </c>
      <c r="M11" s="162">
        <f t="shared" ref="M11" si="8">H11*I11</f>
        <v>0</v>
      </c>
      <c r="N11" s="162">
        <f t="shared" ref="N11:N14" si="9">L11+M11</f>
        <v>0</v>
      </c>
      <c r="O11" s="163">
        <f t="shared" ref="O11" si="10">J11+K11+N11</f>
        <v>0</v>
      </c>
    </row>
    <row r="12" spans="1:16" s="51" customFormat="1" ht="27.75" hidden="1" customHeight="1" x14ac:dyDescent="0.2">
      <c r="A12" s="184"/>
      <c r="B12" s="203"/>
      <c r="C12" s="164"/>
      <c r="D12" s="164"/>
      <c r="E12" s="164"/>
      <c r="F12" s="164"/>
      <c r="G12" s="164">
        <v>56</v>
      </c>
      <c r="H12" s="164"/>
      <c r="I12" s="164"/>
      <c r="J12" s="164"/>
      <c r="K12" s="164"/>
      <c r="L12" s="164">
        <f>F12*G12</f>
        <v>0</v>
      </c>
      <c r="M12" s="164">
        <v>0</v>
      </c>
      <c r="N12" s="165">
        <f t="shared" si="9"/>
        <v>0</v>
      </c>
      <c r="O12" s="179">
        <f t="shared" ref="O12:O42" si="11">J12+K12+L12+M12</f>
        <v>0</v>
      </c>
    </row>
    <row r="13" spans="1:16" s="51" customFormat="1" ht="14.25" hidden="1" x14ac:dyDescent="0.2">
      <c r="A13" s="184" t="s">
        <v>257</v>
      </c>
      <c r="B13" s="187"/>
      <c r="C13" s="165"/>
      <c r="D13" s="165"/>
      <c r="E13" s="165"/>
      <c r="F13" s="165"/>
      <c r="G13" s="165">
        <v>45</v>
      </c>
      <c r="H13" s="165"/>
      <c r="I13" s="165">
        <v>1</v>
      </c>
      <c r="J13" s="165"/>
      <c r="K13" s="165">
        <f>E13*D13</f>
        <v>0</v>
      </c>
      <c r="L13" s="165">
        <f>G13*F13</f>
        <v>0</v>
      </c>
      <c r="M13" s="165">
        <f>I13*H13</f>
        <v>0</v>
      </c>
      <c r="N13" s="165">
        <f t="shared" si="9"/>
        <v>0</v>
      </c>
      <c r="O13" s="179">
        <f t="shared" si="11"/>
        <v>0</v>
      </c>
    </row>
    <row r="14" spans="1:16" s="51" customFormat="1" ht="14.25" hidden="1" x14ac:dyDescent="0.2">
      <c r="A14" s="190"/>
      <c r="B14" s="187"/>
      <c r="C14" s="165"/>
      <c r="D14" s="165"/>
      <c r="E14" s="165"/>
      <c r="F14" s="165"/>
      <c r="G14" s="165"/>
      <c r="H14" s="165"/>
      <c r="I14" s="165"/>
      <c r="J14" s="165"/>
      <c r="K14" s="165"/>
      <c r="L14" s="165">
        <f>G14*F14</f>
        <v>0</v>
      </c>
      <c r="M14" s="165"/>
      <c r="N14" s="165">
        <f t="shared" si="9"/>
        <v>0</v>
      </c>
      <c r="O14" s="179">
        <f t="shared" si="11"/>
        <v>0</v>
      </c>
    </row>
    <row r="15" spans="1:16" s="51" customFormat="1" ht="28.5" hidden="1" x14ac:dyDescent="0.2">
      <c r="A15" s="190" t="s">
        <v>267</v>
      </c>
      <c r="B15" s="187"/>
      <c r="C15" s="165"/>
      <c r="D15" s="165"/>
      <c r="E15" s="165">
        <v>14</v>
      </c>
      <c r="F15" s="165"/>
      <c r="G15" s="165"/>
      <c r="H15" s="165"/>
      <c r="I15" s="165"/>
      <c r="J15" s="165"/>
      <c r="K15" s="165">
        <f t="shared" ref="K15:K42" si="12">E15*D15</f>
        <v>0</v>
      </c>
      <c r="L15" s="165"/>
      <c r="M15" s="165"/>
      <c r="N15" s="165"/>
      <c r="O15" s="179">
        <f t="shared" si="11"/>
        <v>0</v>
      </c>
    </row>
    <row r="16" spans="1:16" s="51" customFormat="1" ht="14.25" hidden="1" x14ac:dyDescent="0.2">
      <c r="A16" s="185" t="s">
        <v>436</v>
      </c>
      <c r="B16" s="188">
        <f>план!BY16*план!BY95</f>
        <v>0</v>
      </c>
      <c r="C16" s="165">
        <v>7</v>
      </c>
      <c r="D16" s="165">
        <f>план!AD16</f>
        <v>0</v>
      </c>
      <c r="E16" s="165">
        <v>7</v>
      </c>
      <c r="F16" s="166">
        <f>план!BR16*план!BR95+план!BT16*план!BT95</f>
        <v>0</v>
      </c>
      <c r="G16" s="165">
        <v>7</v>
      </c>
      <c r="H16" s="166">
        <f t="shared" ref="H16" si="13">F16</f>
        <v>0</v>
      </c>
      <c r="I16" s="165">
        <v>1</v>
      </c>
      <c r="J16" s="165">
        <f t="shared" ref="J16" si="14">B16*C16</f>
        <v>0</v>
      </c>
      <c r="K16" s="165">
        <f t="shared" si="12"/>
        <v>0</v>
      </c>
      <c r="L16" s="165">
        <f t="shared" ref="L16:L42" si="15">G16*F16</f>
        <v>0</v>
      </c>
      <c r="M16" s="165">
        <f t="shared" ref="M16:M18" si="16">I16*H16</f>
        <v>0</v>
      </c>
      <c r="N16" s="165">
        <f t="shared" ref="N16" si="17">L16+M16</f>
        <v>0</v>
      </c>
      <c r="O16" s="179">
        <f t="shared" si="11"/>
        <v>0</v>
      </c>
      <c r="P16" s="111"/>
    </row>
    <row r="17" spans="1:16" s="51" customFormat="1" ht="28.5" x14ac:dyDescent="0.2">
      <c r="A17" s="185" t="s">
        <v>616</v>
      </c>
      <c r="B17" s="947"/>
      <c r="C17" s="165"/>
      <c r="D17" s="165">
        <f>план!Y8</f>
        <v>2126.6570000000002</v>
      </c>
      <c r="E17" s="165">
        <v>67</v>
      </c>
      <c r="F17" s="166">
        <f>план!BN8*план!BN95+план!BP8*план!BP95</f>
        <v>0</v>
      </c>
      <c r="G17" s="165">
        <v>67</v>
      </c>
      <c r="H17" s="166">
        <f>F17</f>
        <v>0</v>
      </c>
      <c r="I17" s="165">
        <v>1</v>
      </c>
      <c r="J17" s="165">
        <f t="shared" ref="J17:J20" si="18">B17*C17</f>
        <v>0</v>
      </c>
      <c r="K17" s="165">
        <f t="shared" ref="K17" si="19">E17*D17</f>
        <v>142486.019</v>
      </c>
      <c r="L17" s="165">
        <f t="shared" ref="L17" si="20">G17*F17</f>
        <v>0</v>
      </c>
      <c r="M17" s="165">
        <f t="shared" si="16"/>
        <v>0</v>
      </c>
      <c r="N17" s="165">
        <f t="shared" ref="N17" si="21">L17+M17</f>
        <v>0</v>
      </c>
      <c r="O17" s="179">
        <f t="shared" ref="O17" si="22">J17+K17+L17+M17</f>
        <v>142486.019</v>
      </c>
      <c r="P17" s="111"/>
    </row>
    <row r="18" spans="1:16" s="51" customFormat="1" ht="14.25" x14ac:dyDescent="0.2">
      <c r="A18" s="184" t="s">
        <v>814</v>
      </c>
      <c r="B18" s="946"/>
      <c r="C18" s="165"/>
      <c r="D18" s="165"/>
      <c r="E18" s="165">
        <v>70</v>
      </c>
      <c r="F18" s="166">
        <f>план!BF9*план!BF95</f>
        <v>3027.6654999999996</v>
      </c>
      <c r="G18" s="165">
        <v>70</v>
      </c>
      <c r="H18" s="166">
        <f>план!BF9*план!BF95+план!BF17*план!BF95</f>
        <v>4192.3654999999999</v>
      </c>
      <c r="I18" s="165">
        <v>1</v>
      </c>
      <c r="J18" s="165">
        <f t="shared" si="18"/>
        <v>0</v>
      </c>
      <c r="K18" s="165">
        <f t="shared" ref="K18" si="23">E18*D18</f>
        <v>0</v>
      </c>
      <c r="L18" s="165">
        <f t="shared" ref="L18" si="24">G18*F18</f>
        <v>211936.58499999996</v>
      </c>
      <c r="M18" s="165">
        <f t="shared" si="16"/>
        <v>4192.3654999999999</v>
      </c>
      <c r="N18" s="165">
        <f t="shared" ref="N18" si="25">L18+M18</f>
        <v>216128.95049999998</v>
      </c>
      <c r="O18" s="179">
        <f t="shared" ref="O18" si="26">J18+K18+L18+M18</f>
        <v>216128.95049999998</v>
      </c>
      <c r="P18" s="111"/>
    </row>
    <row r="19" spans="1:16" s="51" customFormat="1" ht="15" x14ac:dyDescent="0.2">
      <c r="A19" s="185" t="s">
        <v>618</v>
      </c>
      <c r="B19" s="1104"/>
      <c r="C19" s="165"/>
      <c r="D19" s="165"/>
      <c r="E19" s="165">
        <v>51</v>
      </c>
      <c r="F19" s="166"/>
      <c r="G19" s="165">
        <v>51</v>
      </c>
      <c r="H19" s="166">
        <f>план!BF18*план!BF95</f>
        <v>4897.0667999999996</v>
      </c>
      <c r="I19" s="165">
        <v>1</v>
      </c>
      <c r="J19" s="165">
        <f t="shared" si="18"/>
        <v>0</v>
      </c>
      <c r="K19" s="165">
        <f t="shared" ref="K19" si="27">E19*D19</f>
        <v>0</v>
      </c>
      <c r="L19" s="165">
        <f t="shared" ref="L19" si="28">G19*F19</f>
        <v>0</v>
      </c>
      <c r="M19" s="165">
        <f t="shared" ref="M19" si="29">I19*H19</f>
        <v>4897.0667999999996</v>
      </c>
      <c r="N19" s="165">
        <f t="shared" ref="N19" si="30">L19+M19</f>
        <v>4897.0667999999996</v>
      </c>
      <c r="O19" s="179">
        <f t="shared" ref="O19" si="31">J19+K19+L19+M19</f>
        <v>4897.0667999999996</v>
      </c>
      <c r="P19" s="111"/>
    </row>
    <row r="20" spans="1:16" s="51" customFormat="1" ht="14.25" hidden="1" x14ac:dyDescent="0.2">
      <c r="A20" s="185"/>
      <c r="B20" s="712"/>
      <c r="C20" s="944"/>
      <c r="D20" s="944">
        <f>план!Y22</f>
        <v>0</v>
      </c>
      <c r="E20" s="944">
        <v>18</v>
      </c>
      <c r="F20" s="945">
        <f>план!BJ22*план!BJ95+план!BL22*план!BL95</f>
        <v>0</v>
      </c>
      <c r="G20" s="944">
        <v>19</v>
      </c>
      <c r="H20" s="945">
        <f>F20</f>
        <v>0</v>
      </c>
      <c r="I20" s="944">
        <v>1</v>
      </c>
      <c r="J20" s="944">
        <f t="shared" si="18"/>
        <v>0</v>
      </c>
      <c r="K20" s="944">
        <f t="shared" ref="K20" si="32">E20*D20</f>
        <v>0</v>
      </c>
      <c r="L20" s="944">
        <f t="shared" ref="L20" si="33">G20*F20</f>
        <v>0</v>
      </c>
      <c r="M20" s="944">
        <f t="shared" ref="M20" si="34">I20*H20</f>
        <v>0</v>
      </c>
      <c r="N20" s="944">
        <f t="shared" ref="N20" si="35">L20+M20</f>
        <v>0</v>
      </c>
      <c r="O20" s="1103">
        <f t="shared" ref="O20" si="36">J20+K20+L20+M20</f>
        <v>0</v>
      </c>
      <c r="P20" s="111"/>
    </row>
    <row r="21" spans="1:16" s="776" customFormat="1" ht="15" x14ac:dyDescent="0.2">
      <c r="A21" s="782" t="s">
        <v>457</v>
      </c>
      <c r="B21" s="783"/>
      <c r="C21" s="784"/>
      <c r="D21" s="784"/>
      <c r="E21" s="784"/>
      <c r="F21" s="784"/>
      <c r="G21" s="784"/>
      <c r="H21" s="784"/>
      <c r="I21" s="784"/>
      <c r="J21" s="784">
        <f>B21*C21</f>
        <v>0</v>
      </c>
      <c r="K21" s="784">
        <f t="shared" ref="K21" si="37">E21*D21</f>
        <v>0</v>
      </c>
      <c r="L21" s="784">
        <f t="shared" ref="L21" si="38">G21*F21</f>
        <v>0</v>
      </c>
      <c r="M21" s="784">
        <f>I21*H21</f>
        <v>0</v>
      </c>
      <c r="N21" s="784">
        <f t="shared" ref="N21" si="39">L21+M21</f>
        <v>0</v>
      </c>
      <c r="O21" s="785">
        <f t="shared" ref="O21" si="40">J21+K21+L21+M21</f>
        <v>0</v>
      </c>
      <c r="P21" s="775"/>
    </row>
    <row r="22" spans="1:16" s="776" customFormat="1" ht="14.25" hidden="1" x14ac:dyDescent="0.2">
      <c r="A22" s="777" t="s">
        <v>594</v>
      </c>
      <c r="B22" s="778"/>
      <c r="C22" s="779">
        <v>7</v>
      </c>
      <c r="D22" s="779"/>
      <c r="E22" s="779"/>
      <c r="F22" s="779"/>
      <c r="G22" s="779"/>
      <c r="H22" s="779"/>
      <c r="I22" s="779"/>
      <c r="J22" s="779">
        <f t="shared" ref="J22" si="41">B22*C22</f>
        <v>0</v>
      </c>
      <c r="K22" s="779">
        <f t="shared" ref="K22" si="42">E22*D22</f>
        <v>0</v>
      </c>
      <c r="L22" s="779">
        <f t="shared" ref="L22" si="43">G22*F22</f>
        <v>0</v>
      </c>
      <c r="M22" s="779">
        <f t="shared" ref="M22" si="44">I22*H22</f>
        <v>0</v>
      </c>
      <c r="N22" s="779">
        <f t="shared" ref="N22" si="45">L22+M22</f>
        <v>0</v>
      </c>
      <c r="O22" s="780">
        <f t="shared" ref="O22" si="46">J22+K22+L22+M22</f>
        <v>0</v>
      </c>
      <c r="P22" s="781"/>
    </row>
    <row r="23" spans="1:16" s="776" customFormat="1" ht="14.25" hidden="1" x14ac:dyDescent="0.2">
      <c r="A23" s="777" t="s">
        <v>459</v>
      </c>
      <c r="B23" s="778"/>
      <c r="C23" s="779">
        <v>11</v>
      </c>
      <c r="D23" s="779"/>
      <c r="E23" s="779"/>
      <c r="F23" s="779"/>
      <c r="G23" s="779"/>
      <c r="H23" s="779"/>
      <c r="I23" s="779"/>
      <c r="J23" s="779">
        <f t="shared" ref="J23:J28" si="47">B23*C23</f>
        <v>0</v>
      </c>
      <c r="K23" s="779">
        <f t="shared" ref="K23:K28" si="48">E23*D23</f>
        <v>0</v>
      </c>
      <c r="L23" s="779">
        <f t="shared" ref="L23:L28" si="49">G23*F23</f>
        <v>0</v>
      </c>
      <c r="M23" s="779">
        <f t="shared" ref="M23:M28" si="50">I23*H23</f>
        <v>0</v>
      </c>
      <c r="N23" s="779">
        <f t="shared" ref="N23:N28" si="51">L23+M23</f>
        <v>0</v>
      </c>
      <c r="O23" s="780">
        <f t="shared" ref="O23:O28" si="52">J23+K23+L23+M23</f>
        <v>0</v>
      </c>
      <c r="P23" s="781"/>
    </row>
    <row r="24" spans="1:16" s="776" customFormat="1" ht="14.25" hidden="1" x14ac:dyDescent="0.2">
      <c r="A24" s="777" t="s">
        <v>605</v>
      </c>
      <c r="B24" s="778"/>
      <c r="C24" s="779">
        <v>3</v>
      </c>
      <c r="D24" s="779"/>
      <c r="E24" s="779"/>
      <c r="F24" s="779"/>
      <c r="G24" s="779">
        <v>3</v>
      </c>
      <c r="H24" s="779"/>
      <c r="I24" s="779">
        <v>1</v>
      </c>
      <c r="J24" s="779">
        <f t="shared" ref="J24" si="53">B24*C24</f>
        <v>0</v>
      </c>
      <c r="K24" s="779">
        <f t="shared" ref="K24" si="54">E24*D24</f>
        <v>0</v>
      </c>
      <c r="L24" s="779">
        <f t="shared" ref="L24" si="55">G24*F24</f>
        <v>0</v>
      </c>
      <c r="M24" s="779">
        <f t="shared" ref="M24" si="56">I24*H24</f>
        <v>0</v>
      </c>
      <c r="N24" s="779">
        <f t="shared" ref="N24" si="57">L24+M24</f>
        <v>0</v>
      </c>
      <c r="O24" s="780">
        <f t="shared" ref="O24" si="58">J24+K24+L24+M24</f>
        <v>0</v>
      </c>
      <c r="P24" s="781"/>
    </row>
    <row r="25" spans="1:16" s="776" customFormat="1" ht="14.25" x14ac:dyDescent="0.2">
      <c r="A25" s="777" t="s">
        <v>593</v>
      </c>
      <c r="B25" s="778"/>
      <c r="C25" s="779"/>
      <c r="D25" s="779"/>
      <c r="E25" s="779"/>
      <c r="F25" s="779">
        <f>'Материалы ФОРМА'!Y25*1.38+'Материалы ФОРМА'!Z25*1.41</f>
        <v>480.64589999999959</v>
      </c>
      <c r="G25" s="779">
        <v>3</v>
      </c>
      <c r="H25" s="779">
        <f>F25</f>
        <v>480.64589999999959</v>
      </c>
      <c r="I25" s="779">
        <v>1</v>
      </c>
      <c r="J25" s="779">
        <f t="shared" si="47"/>
        <v>0</v>
      </c>
      <c r="K25" s="779">
        <f t="shared" si="48"/>
        <v>0</v>
      </c>
      <c r="L25" s="779">
        <f t="shared" si="49"/>
        <v>1441.9376999999988</v>
      </c>
      <c r="M25" s="779">
        <f t="shared" si="50"/>
        <v>480.64589999999959</v>
      </c>
      <c r="N25" s="779">
        <f t="shared" si="51"/>
        <v>1922.5835999999983</v>
      </c>
      <c r="O25" s="780">
        <f t="shared" si="52"/>
        <v>1922.5835999999983</v>
      </c>
      <c r="P25" s="781"/>
    </row>
    <row r="26" spans="1:16" s="776" customFormat="1" ht="14.25" x14ac:dyDescent="0.2">
      <c r="A26" s="777" t="s">
        <v>617</v>
      </c>
      <c r="B26" s="778"/>
      <c r="C26" s="779"/>
      <c r="D26" s="779"/>
      <c r="E26" s="779"/>
      <c r="F26" s="779">
        <f>'Материалы ФОРМА'!AC25*1.38+'Материалы ФОРМА'!AE25*1.53</f>
        <v>904.91333400000121</v>
      </c>
      <c r="G26" s="779">
        <v>3</v>
      </c>
      <c r="H26" s="779">
        <f>F26</f>
        <v>904.91333400000121</v>
      </c>
      <c r="I26" s="779">
        <v>1</v>
      </c>
      <c r="J26" s="779">
        <f t="shared" ref="J26" si="59">B26*C26</f>
        <v>0</v>
      </c>
      <c r="K26" s="779">
        <f t="shared" ref="K26" si="60">E26*D26</f>
        <v>0</v>
      </c>
      <c r="L26" s="779">
        <f t="shared" ref="L26" si="61">G26*F26</f>
        <v>2714.7400020000036</v>
      </c>
      <c r="M26" s="779">
        <f t="shared" ref="M26" si="62">I26*H26</f>
        <v>904.91333400000121</v>
      </c>
      <c r="N26" s="779">
        <f t="shared" ref="N26" si="63">L26+M26</f>
        <v>3619.6533360000049</v>
      </c>
      <c r="O26" s="780">
        <f t="shared" ref="O26" si="64">J26+K26+L26+M26</f>
        <v>3619.6533360000049</v>
      </c>
      <c r="P26" s="781"/>
    </row>
    <row r="27" spans="1:16" s="776" customFormat="1" ht="14.25" hidden="1" x14ac:dyDescent="0.2">
      <c r="A27" s="777" t="s">
        <v>462</v>
      </c>
      <c r="B27" s="778"/>
      <c r="C27" s="779"/>
      <c r="D27" s="779"/>
      <c r="E27" s="779">
        <v>3</v>
      </c>
      <c r="F27" s="779"/>
      <c r="G27" s="779"/>
      <c r="H27" s="779"/>
      <c r="I27" s="779"/>
      <c r="J27" s="779">
        <f t="shared" ref="J27" si="65">B27*C27</f>
        <v>0</v>
      </c>
      <c r="K27" s="779">
        <f t="shared" ref="K27" si="66">E27*D27</f>
        <v>0</v>
      </c>
      <c r="L27" s="779">
        <f t="shared" ref="L27" si="67">G27*F27</f>
        <v>0</v>
      </c>
      <c r="M27" s="779">
        <f t="shared" ref="M27" si="68">I27*H27</f>
        <v>0</v>
      </c>
      <c r="N27" s="779">
        <f t="shared" ref="N27" si="69">L27+M27</f>
        <v>0</v>
      </c>
      <c r="O27" s="780">
        <f t="shared" ref="O27" si="70">J27+K27+L27+M27</f>
        <v>0</v>
      </c>
      <c r="P27" s="781"/>
    </row>
    <row r="28" spans="1:16" s="776" customFormat="1" ht="14.25" hidden="1" x14ac:dyDescent="0.2">
      <c r="A28" s="777" t="s">
        <v>483</v>
      </c>
      <c r="B28" s="778"/>
      <c r="C28" s="779"/>
      <c r="D28" s="779"/>
      <c r="E28" s="779">
        <v>3</v>
      </c>
      <c r="F28" s="779"/>
      <c r="G28" s="779"/>
      <c r="H28" s="779"/>
      <c r="I28" s="779"/>
      <c r="J28" s="779">
        <f t="shared" si="47"/>
        <v>0</v>
      </c>
      <c r="K28" s="779">
        <f t="shared" si="48"/>
        <v>0</v>
      </c>
      <c r="L28" s="779">
        <f t="shared" si="49"/>
        <v>0</v>
      </c>
      <c r="M28" s="779">
        <f t="shared" si="50"/>
        <v>0</v>
      </c>
      <c r="N28" s="779">
        <f t="shared" si="51"/>
        <v>0</v>
      </c>
      <c r="O28" s="780">
        <f t="shared" si="52"/>
        <v>0</v>
      </c>
      <c r="P28" s="781"/>
    </row>
    <row r="29" spans="1:16" s="776" customFormat="1" ht="14.25" hidden="1" x14ac:dyDescent="0.2">
      <c r="A29" s="777" t="s">
        <v>592</v>
      </c>
      <c r="B29" s="778"/>
      <c r="C29" s="779"/>
      <c r="D29" s="779"/>
      <c r="E29" s="779">
        <v>3</v>
      </c>
      <c r="F29" s="779"/>
      <c r="G29" s="779"/>
      <c r="H29" s="779"/>
      <c r="I29" s="779"/>
      <c r="J29" s="779">
        <f t="shared" ref="J29" si="71">B29*C29</f>
        <v>0</v>
      </c>
      <c r="K29" s="779">
        <f t="shared" ref="K29" si="72">E29*D29</f>
        <v>0</v>
      </c>
      <c r="L29" s="779">
        <f t="shared" ref="L29" si="73">G29*F29</f>
        <v>0</v>
      </c>
      <c r="M29" s="779">
        <f t="shared" ref="M29" si="74">I29*H29</f>
        <v>0</v>
      </c>
      <c r="N29" s="779">
        <f t="shared" ref="N29" si="75">L29+M29</f>
        <v>0</v>
      </c>
      <c r="O29" s="780">
        <f t="shared" ref="O29" si="76">J29+K29+L29+M29</f>
        <v>0</v>
      </c>
      <c r="P29" s="781"/>
    </row>
    <row r="30" spans="1:16" s="956" customFormat="1" ht="18" customHeight="1" x14ac:dyDescent="0.2">
      <c r="A30" s="951" t="s">
        <v>507</v>
      </c>
      <c r="B30" s="952"/>
      <c r="C30" s="953"/>
      <c r="D30" s="953"/>
      <c r="E30" s="953"/>
      <c r="F30" s="953"/>
      <c r="G30" s="953"/>
      <c r="H30" s="953"/>
      <c r="I30" s="953"/>
      <c r="J30" s="953">
        <f t="shared" ref="J30:J34" si="77">B30*C30</f>
        <v>0</v>
      </c>
      <c r="K30" s="953">
        <f t="shared" ref="K30:K34" si="78">E30*D30</f>
        <v>0</v>
      </c>
      <c r="L30" s="953">
        <f t="shared" ref="L30:L34" si="79">G30*F30</f>
        <v>0</v>
      </c>
      <c r="M30" s="953">
        <f t="shared" ref="M30:M34" si="80">I30*H30</f>
        <v>0</v>
      </c>
      <c r="N30" s="953">
        <f t="shared" ref="N30:N34" si="81">L30+M30</f>
        <v>0</v>
      </c>
      <c r="O30" s="954">
        <f t="shared" ref="O30:O34" si="82">J30+K30+L30+M30</f>
        <v>0</v>
      </c>
      <c r="P30" s="955"/>
    </row>
    <row r="31" spans="1:16" s="956" customFormat="1" ht="14.25" hidden="1" x14ac:dyDescent="0.2">
      <c r="A31" s="950" t="s">
        <v>606</v>
      </c>
      <c r="B31" s="952">
        <f>план!BW31*1.2</f>
        <v>0</v>
      </c>
      <c r="C31" s="953">
        <v>1</v>
      </c>
      <c r="D31" s="953"/>
      <c r="E31" s="953"/>
      <c r="F31" s="953"/>
      <c r="G31" s="953"/>
      <c r="H31" s="953"/>
      <c r="I31" s="953"/>
      <c r="J31" s="953">
        <f t="shared" si="77"/>
        <v>0</v>
      </c>
      <c r="K31" s="953">
        <f t="shared" si="78"/>
        <v>0</v>
      </c>
      <c r="L31" s="953">
        <f t="shared" si="79"/>
        <v>0</v>
      </c>
      <c r="M31" s="953">
        <f t="shared" si="80"/>
        <v>0</v>
      </c>
      <c r="N31" s="953">
        <f t="shared" si="81"/>
        <v>0</v>
      </c>
      <c r="O31" s="954">
        <f t="shared" si="82"/>
        <v>0</v>
      </c>
      <c r="P31" s="955"/>
    </row>
    <row r="32" spans="1:16" s="956" customFormat="1" ht="14.25" hidden="1" x14ac:dyDescent="0.2">
      <c r="A32" s="950" t="s">
        <v>522</v>
      </c>
      <c r="B32" s="952"/>
      <c r="C32" s="953">
        <v>7</v>
      </c>
      <c r="D32" s="953"/>
      <c r="E32" s="953"/>
      <c r="F32" s="953"/>
      <c r="G32" s="953"/>
      <c r="H32" s="953"/>
      <c r="I32" s="953"/>
      <c r="J32" s="953">
        <f t="shared" ref="J32" si="83">B32*C32</f>
        <v>0</v>
      </c>
      <c r="K32" s="953">
        <f t="shared" ref="K32" si="84">E32*D32</f>
        <v>0</v>
      </c>
      <c r="L32" s="953">
        <f t="shared" ref="L32" si="85">G32*F32</f>
        <v>0</v>
      </c>
      <c r="M32" s="953">
        <f t="shared" ref="M32" si="86">I32*H32</f>
        <v>0</v>
      </c>
      <c r="N32" s="953">
        <f t="shared" ref="N32" si="87">L32+M32</f>
        <v>0</v>
      </c>
      <c r="O32" s="954">
        <f t="shared" ref="O32" si="88">J32+K32+L32+M32</f>
        <v>0</v>
      </c>
      <c r="P32" s="955"/>
    </row>
    <row r="33" spans="1:17" s="956" customFormat="1" ht="14.25" x14ac:dyDescent="0.2">
      <c r="A33" s="950" t="s">
        <v>463</v>
      </c>
      <c r="B33" s="952">
        <f>план!BV31*1.6</f>
        <v>1511.2</v>
      </c>
      <c r="C33" s="953">
        <v>1</v>
      </c>
      <c r="D33" s="953"/>
      <c r="E33" s="953"/>
      <c r="F33" s="953"/>
      <c r="G33" s="953"/>
      <c r="H33" s="953"/>
      <c r="I33" s="953"/>
      <c r="J33" s="953">
        <f t="shared" si="77"/>
        <v>1511.2</v>
      </c>
      <c r="K33" s="953">
        <f t="shared" si="78"/>
        <v>0</v>
      </c>
      <c r="L33" s="953">
        <f t="shared" si="79"/>
        <v>0</v>
      </c>
      <c r="M33" s="953">
        <f t="shared" si="80"/>
        <v>0</v>
      </c>
      <c r="N33" s="953">
        <f t="shared" si="81"/>
        <v>0</v>
      </c>
      <c r="O33" s="954">
        <f t="shared" si="82"/>
        <v>1511.2</v>
      </c>
      <c r="P33" s="955"/>
    </row>
    <row r="34" spans="1:17" s="956" customFormat="1" ht="14.25" hidden="1" x14ac:dyDescent="0.2">
      <c r="A34" s="950" t="s">
        <v>458</v>
      </c>
      <c r="B34" s="952"/>
      <c r="C34" s="953">
        <v>58</v>
      </c>
      <c r="D34" s="953"/>
      <c r="E34" s="953"/>
      <c r="F34" s="953"/>
      <c r="G34" s="953"/>
      <c r="H34" s="953"/>
      <c r="I34" s="953"/>
      <c r="J34" s="953">
        <f t="shared" si="77"/>
        <v>0</v>
      </c>
      <c r="K34" s="953">
        <f t="shared" si="78"/>
        <v>0</v>
      </c>
      <c r="L34" s="953">
        <f t="shared" si="79"/>
        <v>0</v>
      </c>
      <c r="M34" s="953">
        <f t="shared" si="80"/>
        <v>0</v>
      </c>
      <c r="N34" s="953">
        <f t="shared" si="81"/>
        <v>0</v>
      </c>
      <c r="O34" s="954">
        <f t="shared" si="82"/>
        <v>0</v>
      </c>
      <c r="P34" s="955"/>
    </row>
    <row r="35" spans="1:17" s="956" customFormat="1" ht="14.25" x14ac:dyDescent="0.2">
      <c r="A35" s="950" t="s">
        <v>459</v>
      </c>
      <c r="B35" s="952">
        <f>'[1]ОСНОВНЫЕ ОБЪЁМЫ'!$GY$224*1.6</f>
        <v>2313.8560000000002</v>
      </c>
      <c r="C35" s="953">
        <v>14</v>
      </c>
      <c r="D35" s="953"/>
      <c r="E35" s="953"/>
      <c r="F35" s="953"/>
      <c r="G35" s="953"/>
      <c r="H35" s="953"/>
      <c r="I35" s="953"/>
      <c r="J35" s="953">
        <f t="shared" ref="J35:J37" si="89">B35*C35</f>
        <v>32393.984000000004</v>
      </c>
      <c r="K35" s="953">
        <f t="shared" ref="K35:K37" si="90">E35*D35</f>
        <v>0</v>
      </c>
      <c r="L35" s="953">
        <f t="shared" ref="L35:L37" si="91">G35*F35</f>
        <v>0</v>
      </c>
      <c r="M35" s="953">
        <f t="shared" ref="M35:M37" si="92">I35*H35</f>
        <v>0</v>
      </c>
      <c r="N35" s="953">
        <f t="shared" ref="N35:N37" si="93">L35+M35</f>
        <v>0</v>
      </c>
      <c r="O35" s="954">
        <f t="shared" ref="O35:O37" si="94">J35+K35+L35+M35</f>
        <v>32393.984000000004</v>
      </c>
      <c r="P35" s="955"/>
    </row>
    <row r="36" spans="1:17" s="956" customFormat="1" ht="14.25" x14ac:dyDescent="0.2">
      <c r="A36" s="950" t="s">
        <v>855</v>
      </c>
      <c r="B36" s="952">
        <f>'[1]ОСНОВНЫЕ ОБЪЁМЫ'!$GZ$224*1.66</f>
        <v>233.41442599999999</v>
      </c>
      <c r="C36" s="953">
        <v>62</v>
      </c>
      <c r="D36" s="953"/>
      <c r="E36" s="953"/>
      <c r="F36" s="953"/>
      <c r="G36" s="953"/>
      <c r="H36" s="953"/>
      <c r="I36" s="953"/>
      <c r="J36" s="953">
        <f t="shared" ref="J36" si="95">B36*C36</f>
        <v>14471.694411999999</v>
      </c>
      <c r="K36" s="953">
        <f t="shared" ref="K36" si="96">E36*D36</f>
        <v>0</v>
      </c>
      <c r="L36" s="953">
        <f t="shared" ref="L36" si="97">G36*F36</f>
        <v>0</v>
      </c>
      <c r="M36" s="953">
        <f t="shared" ref="M36" si="98">I36*H36</f>
        <v>0</v>
      </c>
      <c r="N36" s="953">
        <f t="shared" ref="N36" si="99">L36+M36</f>
        <v>0</v>
      </c>
      <c r="O36" s="954">
        <f t="shared" ref="O36" si="100">J36+K36+L36+M36</f>
        <v>14471.694411999999</v>
      </c>
      <c r="P36" s="955"/>
    </row>
    <row r="37" spans="1:17" s="956" customFormat="1" ht="14.25" x14ac:dyDescent="0.2">
      <c r="A37" s="950" t="s">
        <v>461</v>
      </c>
      <c r="B37" s="952"/>
      <c r="C37" s="953"/>
      <c r="D37" s="953"/>
      <c r="E37" s="953"/>
      <c r="F37" s="953">
        <f>план!BX31*1.6</f>
        <v>385.99200000000008</v>
      </c>
      <c r="G37" s="953">
        <v>6</v>
      </c>
      <c r="H37" s="953"/>
      <c r="I37" s="953"/>
      <c r="J37" s="953">
        <f t="shared" si="89"/>
        <v>0</v>
      </c>
      <c r="K37" s="953">
        <f t="shared" si="90"/>
        <v>0</v>
      </c>
      <c r="L37" s="953">
        <f t="shared" si="91"/>
        <v>2315.9520000000002</v>
      </c>
      <c r="M37" s="953">
        <f t="shared" si="92"/>
        <v>0</v>
      </c>
      <c r="N37" s="953">
        <f t="shared" si="93"/>
        <v>2315.9520000000002</v>
      </c>
      <c r="O37" s="954">
        <f t="shared" si="94"/>
        <v>2315.9520000000002</v>
      </c>
      <c r="P37" s="955"/>
      <c r="Q37" s="1107"/>
    </row>
    <row r="38" spans="1:17" s="956" customFormat="1" ht="14.25" x14ac:dyDescent="0.2">
      <c r="A38" s="950" t="s">
        <v>460</v>
      </c>
      <c r="B38" s="952"/>
      <c r="C38" s="953"/>
      <c r="D38" s="953"/>
      <c r="E38" s="953"/>
      <c r="F38" s="953">
        <f>план!AV31*план!AV95+план!AY31*план!AY95+план!AZ31*план!AZ95+план!BU31*план!BU95</f>
        <v>4666.9695310000006</v>
      </c>
      <c r="G38" s="953">
        <v>6</v>
      </c>
      <c r="H38" s="953">
        <f>F38-план!BU31*1.42</f>
        <v>3984.0872000000008</v>
      </c>
      <c r="I38" s="953">
        <v>1</v>
      </c>
      <c r="J38" s="953">
        <f t="shared" ref="J38" si="101">B38*C38</f>
        <v>0</v>
      </c>
      <c r="K38" s="953">
        <f t="shared" ref="K38" si="102">E38*D38</f>
        <v>0</v>
      </c>
      <c r="L38" s="953">
        <f t="shared" ref="L38" si="103">G38*F38</f>
        <v>28001.817186000004</v>
      </c>
      <c r="M38" s="953">
        <f t="shared" ref="M38" si="104">I38*H38</f>
        <v>3984.0872000000008</v>
      </c>
      <c r="N38" s="953">
        <f t="shared" ref="N38" si="105">L38+M38</f>
        <v>31985.904386000006</v>
      </c>
      <c r="O38" s="954">
        <f t="shared" ref="O38" si="106">J38+K38+L38+M38</f>
        <v>31985.904386000006</v>
      </c>
      <c r="P38" s="955"/>
    </row>
    <row r="39" spans="1:17" s="956" customFormat="1" ht="14.25" x14ac:dyDescent="0.2">
      <c r="A39" s="950" t="s">
        <v>462</v>
      </c>
      <c r="B39" s="952"/>
      <c r="C39" s="953"/>
      <c r="D39" s="953">
        <f>'[1]ОСНОВНЫЕ ОБЪЁМЫ'!$HL$224</f>
        <v>2663.5852</v>
      </c>
      <c r="E39" s="953">
        <v>6</v>
      </c>
      <c r="F39" s="953"/>
      <c r="G39" s="953"/>
      <c r="H39" s="953"/>
      <c r="I39" s="953"/>
      <c r="J39" s="953">
        <f t="shared" ref="J39:J40" si="107">B39*C39</f>
        <v>0</v>
      </c>
      <c r="K39" s="953">
        <f t="shared" ref="K39:K40" si="108">E39*D39</f>
        <v>15981.511200000001</v>
      </c>
      <c r="L39" s="953">
        <f t="shared" ref="L39:L40" si="109">G39*F39</f>
        <v>0</v>
      </c>
      <c r="M39" s="953">
        <f t="shared" ref="M39:M40" si="110">I39*H39</f>
        <v>0</v>
      </c>
      <c r="N39" s="953">
        <f t="shared" ref="N39:N40" si="111">L39+M39</f>
        <v>0</v>
      </c>
      <c r="O39" s="954">
        <f t="shared" ref="O39:O40" si="112">J39+K39+L39+M39</f>
        <v>15981.511200000001</v>
      </c>
      <c r="P39" s="955"/>
    </row>
    <row r="40" spans="1:17" s="956" customFormat="1" ht="14.25" x14ac:dyDescent="0.2">
      <c r="A40" s="950" t="s">
        <v>483</v>
      </c>
      <c r="B40" s="952"/>
      <c r="C40" s="953"/>
      <c r="D40" s="953">
        <f>'[1]ОСНОВНЫЕ ОБЪЁМЫ'!$HJ$224</f>
        <v>2028.53079</v>
      </c>
      <c r="E40" s="953">
        <v>6</v>
      </c>
      <c r="F40" s="953"/>
      <c r="G40" s="953"/>
      <c r="H40" s="953"/>
      <c r="I40" s="953"/>
      <c r="J40" s="953">
        <f t="shared" si="107"/>
        <v>0</v>
      </c>
      <c r="K40" s="953">
        <f t="shared" si="108"/>
        <v>12171.184740000001</v>
      </c>
      <c r="L40" s="953">
        <f t="shared" si="109"/>
        <v>0</v>
      </c>
      <c r="M40" s="953">
        <f t="shared" si="110"/>
        <v>0</v>
      </c>
      <c r="N40" s="953">
        <f t="shared" si="111"/>
        <v>0</v>
      </c>
      <c r="O40" s="954">
        <f t="shared" si="112"/>
        <v>12171.184740000001</v>
      </c>
      <c r="P40" s="955"/>
    </row>
    <row r="41" spans="1:17" s="1774" customFormat="1" ht="14.25" hidden="1" x14ac:dyDescent="0.2">
      <c r="A41" s="1775" t="s">
        <v>592</v>
      </c>
      <c r="B41" s="1770"/>
      <c r="C41" s="1771"/>
      <c r="D41" s="1771"/>
      <c r="E41" s="1771">
        <v>6</v>
      </c>
      <c r="F41" s="1771"/>
      <c r="G41" s="1771"/>
      <c r="H41" s="1771"/>
      <c r="I41" s="1771"/>
      <c r="J41" s="1771">
        <f t="shared" ref="J41" si="113">B41*C41</f>
        <v>0</v>
      </c>
      <c r="K41" s="1771">
        <f t="shared" ref="K41" si="114">E41*D41</f>
        <v>0</v>
      </c>
      <c r="L41" s="1771">
        <f t="shared" ref="L41" si="115">G41*F41</f>
        <v>0</v>
      </c>
      <c r="M41" s="1771">
        <f t="shared" ref="M41" si="116">I41*H41</f>
        <v>0</v>
      </c>
      <c r="N41" s="1771">
        <f t="shared" ref="N41" si="117">L41+M41</f>
        <v>0</v>
      </c>
      <c r="O41" s="1772">
        <f t="shared" ref="O41" si="118">J41+K41+L41+M41</f>
        <v>0</v>
      </c>
      <c r="P41" s="1773"/>
    </row>
    <row r="42" spans="1:17" s="71" customFormat="1" ht="14.25" hidden="1" x14ac:dyDescent="0.2">
      <c r="A42" s="949" t="s">
        <v>410</v>
      </c>
      <c r="B42" s="386"/>
      <c r="C42" s="387"/>
      <c r="D42" s="387"/>
      <c r="E42" s="387">
        <v>73</v>
      </c>
      <c r="F42" s="387"/>
      <c r="G42" s="387">
        <v>76</v>
      </c>
      <c r="H42" s="387"/>
      <c r="I42" s="387">
        <v>1</v>
      </c>
      <c r="J42" s="387">
        <f>B42*C42</f>
        <v>0</v>
      </c>
      <c r="K42" s="387">
        <f t="shared" si="12"/>
        <v>0</v>
      </c>
      <c r="L42" s="387">
        <f t="shared" si="15"/>
        <v>0</v>
      </c>
      <c r="M42" s="387">
        <f>I42*H42</f>
        <v>0</v>
      </c>
      <c r="N42" s="387">
        <f t="shared" ref="N42" si="119">L42+M42</f>
        <v>0</v>
      </c>
      <c r="O42" s="475">
        <f t="shared" si="11"/>
        <v>0</v>
      </c>
      <c r="P42" s="948"/>
    </row>
    <row r="43" spans="1:17" s="71" customFormat="1" ht="16.5" hidden="1" customHeight="1" x14ac:dyDescent="0.2">
      <c r="A43" s="1776" t="s">
        <v>590</v>
      </c>
      <c r="B43" s="386"/>
      <c r="C43" s="387"/>
      <c r="D43" s="387"/>
      <c r="E43" s="387">
        <v>22</v>
      </c>
      <c r="F43" s="387"/>
      <c r="G43" s="387">
        <v>21</v>
      </c>
      <c r="H43" s="387"/>
      <c r="I43" s="387">
        <v>1</v>
      </c>
      <c r="J43" s="387">
        <f t="shared" ref="J43:J44" si="120">C43*B43</f>
        <v>0</v>
      </c>
      <c r="K43" s="387">
        <f t="shared" ref="K43:K44" si="121">D43*E43</f>
        <v>0</v>
      </c>
      <c r="L43" s="387">
        <f t="shared" ref="L43:L44" si="122">F43*G43</f>
        <v>0</v>
      </c>
      <c r="M43" s="387">
        <f t="shared" ref="M43:M44" si="123">H43*I43</f>
        <v>0</v>
      </c>
      <c r="N43" s="387">
        <f t="shared" ref="N43:N44" si="124">L43+M43</f>
        <v>0</v>
      </c>
      <c r="O43" s="475">
        <f t="shared" ref="O43:O44" si="125">J43+K43+N43</f>
        <v>0</v>
      </c>
    </row>
    <row r="44" spans="1:17" s="71" customFormat="1" ht="14.25" hidden="1" x14ac:dyDescent="0.2">
      <c r="A44" s="1776" t="s">
        <v>591</v>
      </c>
      <c r="B44" s="386"/>
      <c r="C44" s="387"/>
      <c r="D44" s="387"/>
      <c r="E44" s="387">
        <v>22</v>
      </c>
      <c r="F44" s="387"/>
      <c r="G44" s="387">
        <v>21</v>
      </c>
      <c r="H44" s="387"/>
      <c r="I44" s="387">
        <v>1</v>
      </c>
      <c r="J44" s="387">
        <f t="shared" si="120"/>
        <v>0</v>
      </c>
      <c r="K44" s="387">
        <f t="shared" si="121"/>
        <v>0</v>
      </c>
      <c r="L44" s="387">
        <f t="shared" si="122"/>
        <v>0</v>
      </c>
      <c r="M44" s="387">
        <f t="shared" si="123"/>
        <v>0</v>
      </c>
      <c r="N44" s="387">
        <f t="shared" si="124"/>
        <v>0</v>
      </c>
      <c r="O44" s="475">
        <f t="shared" si="125"/>
        <v>0</v>
      </c>
    </row>
    <row r="45" spans="1:17" s="1112" customFormat="1" ht="8.25" x14ac:dyDescent="0.15">
      <c r="A45" s="1108"/>
      <c r="B45" s="1109"/>
      <c r="C45" s="1110"/>
      <c r="D45" s="1110"/>
      <c r="E45" s="1110"/>
      <c r="F45" s="1110"/>
      <c r="G45" s="1110"/>
      <c r="H45" s="1110"/>
      <c r="I45" s="1110"/>
      <c r="J45" s="1110"/>
      <c r="K45" s="1110"/>
      <c r="L45" s="1110"/>
      <c r="M45" s="1110"/>
      <c r="N45" s="1110"/>
      <c r="O45" s="1111"/>
    </row>
    <row r="46" spans="1:17" s="51" customFormat="1" ht="15" x14ac:dyDescent="0.2">
      <c r="A46" s="191" t="s">
        <v>445</v>
      </c>
      <c r="B46" s="187">
        <f>0</f>
        <v>0</v>
      </c>
      <c r="C46" s="165">
        <v>35</v>
      </c>
      <c r="D46" s="165">
        <f>план!Y75</f>
        <v>373.72317262830484</v>
      </c>
      <c r="E46" s="165">
        <v>35</v>
      </c>
      <c r="F46" s="165">
        <f>план!AU75*план!AU95+план!AY75*план!AY95+план!BE75*план!BE95+план!BR75*план!BR95+план!BT75*план!BT95</f>
        <v>769.18591549295775</v>
      </c>
      <c r="G46" s="165">
        <v>35</v>
      </c>
      <c r="H46" s="165">
        <f>F46</f>
        <v>769.18591549295775</v>
      </c>
      <c r="I46" s="165">
        <v>1</v>
      </c>
      <c r="J46" s="165">
        <f t="shared" si="0"/>
        <v>0</v>
      </c>
      <c r="K46" s="165">
        <f t="shared" si="1"/>
        <v>13080.31104199067</v>
      </c>
      <c r="L46" s="165">
        <f>F46*G46</f>
        <v>26921.507042253521</v>
      </c>
      <c r="M46" s="165">
        <f>H46*I46</f>
        <v>769.18591549295775</v>
      </c>
      <c r="N46" s="165">
        <f>L46+M46</f>
        <v>27690.69295774648</v>
      </c>
      <c r="O46" s="179">
        <f>J46+K46+L46+M46</f>
        <v>40771.00399973715</v>
      </c>
    </row>
    <row r="47" spans="1:17" s="51" customFormat="1" ht="20.25" hidden="1" customHeight="1" x14ac:dyDescent="0.2">
      <c r="A47" s="713" t="s">
        <v>250</v>
      </c>
      <c r="B47" s="187"/>
      <c r="C47" s="165"/>
      <c r="D47" s="165"/>
      <c r="E47" s="165"/>
      <c r="F47" s="165"/>
      <c r="G47" s="165"/>
      <c r="H47" s="165"/>
      <c r="I47" s="165">
        <v>1</v>
      </c>
      <c r="J47" s="165">
        <f t="shared" si="0"/>
        <v>0</v>
      </c>
      <c r="K47" s="165">
        <f t="shared" si="1"/>
        <v>0</v>
      </c>
      <c r="L47" s="165">
        <f t="shared" si="2"/>
        <v>0</v>
      </c>
      <c r="M47" s="165">
        <f t="shared" si="3"/>
        <v>0</v>
      </c>
      <c r="N47" s="165">
        <f t="shared" si="4"/>
        <v>0</v>
      </c>
      <c r="O47" s="179">
        <f>J47+K47+N47</f>
        <v>0</v>
      </c>
    </row>
    <row r="48" spans="1:17" s="51" customFormat="1" ht="13.5" thickBot="1" x14ac:dyDescent="0.25">
      <c r="A48" s="186" t="s">
        <v>148</v>
      </c>
      <c r="B48" s="189">
        <v>0</v>
      </c>
      <c r="C48" s="167">
        <v>0</v>
      </c>
      <c r="D48" s="167"/>
      <c r="E48" s="167"/>
      <c r="F48" s="167"/>
      <c r="G48" s="167"/>
      <c r="H48" s="167">
        <f>план!AF91*план!AF95+план!AH91*план!AH95+план!AJ91*план!AJ95+план!AK91*план!AK95+план!AM91*план!AM95</f>
        <v>6992.3453026560819</v>
      </c>
      <c r="I48" s="167">
        <v>3</v>
      </c>
      <c r="J48" s="167">
        <f t="shared" si="0"/>
        <v>0</v>
      </c>
      <c r="K48" s="167">
        <f t="shared" si="1"/>
        <v>0</v>
      </c>
      <c r="L48" s="167">
        <f t="shared" si="2"/>
        <v>0</v>
      </c>
      <c r="M48" s="167">
        <f t="shared" si="3"/>
        <v>20977.035907968246</v>
      </c>
      <c r="N48" s="167">
        <f t="shared" si="4"/>
        <v>20977.035907968246</v>
      </c>
      <c r="O48" s="180">
        <f>J48+K48+N48</f>
        <v>20977.035907968246</v>
      </c>
    </row>
    <row r="49" spans="1:16" s="200" customFormat="1" ht="18.75" customHeight="1" thickBot="1" x14ac:dyDescent="0.25">
      <c r="A49" s="197" t="s">
        <v>256</v>
      </c>
      <c r="B49" s="204">
        <f>SUM(B6:B48)</f>
        <v>4058.4704260000003</v>
      </c>
      <c r="C49" s="198"/>
      <c r="D49" s="198">
        <f>SUM(D6:D48)</f>
        <v>7192.4961626283057</v>
      </c>
      <c r="E49" s="198"/>
      <c r="F49" s="198">
        <f>SUM(F6:F48)</f>
        <v>10235.372180492957</v>
      </c>
      <c r="G49" s="198"/>
      <c r="H49" s="198">
        <f>SUM(H6:H48)</f>
        <v>22220.60995214904</v>
      </c>
      <c r="I49" s="198"/>
      <c r="J49" s="198">
        <f t="shared" ref="J49:O49" si="126">SUM(J6:J48)</f>
        <v>48376.878411999998</v>
      </c>
      <c r="K49" s="198">
        <f t="shared" si="126"/>
        <v>183719.02598199068</v>
      </c>
      <c r="L49" s="198">
        <f t="shared" si="126"/>
        <v>273332.53893025347</v>
      </c>
      <c r="M49" s="198">
        <f t="shared" si="126"/>
        <v>36205.300557461203</v>
      </c>
      <c r="N49" s="198">
        <f t="shared" si="126"/>
        <v>309537.83948771475</v>
      </c>
      <c r="O49" s="199">
        <f t="shared" si="126"/>
        <v>541633.74388170545</v>
      </c>
    </row>
    <row r="50" spans="1:16" s="200" customFormat="1" ht="18.75" hidden="1" customHeight="1" x14ac:dyDescent="0.2">
      <c r="A50" s="714"/>
      <c r="B50" s="715"/>
      <c r="C50" s="715"/>
      <c r="D50" s="715"/>
      <c r="E50" s="715"/>
      <c r="F50" s="715"/>
      <c r="G50" s="715"/>
      <c r="H50" s="715"/>
      <c r="I50" s="715"/>
      <c r="J50" s="715"/>
      <c r="K50" s="715"/>
      <c r="L50" s="715"/>
      <c r="M50" s="715"/>
      <c r="N50" s="715"/>
      <c r="O50" s="715"/>
    </row>
    <row r="51" spans="1:16" x14ac:dyDescent="0.2">
      <c r="A51" s="2109" t="s">
        <v>21</v>
      </c>
      <c r="B51" s="2109"/>
      <c r="C51" s="2109"/>
      <c r="D51" s="2109"/>
      <c r="E51" s="2109"/>
      <c r="F51" s="2109"/>
      <c r="G51" s="2109"/>
      <c r="H51" s="2109"/>
      <c r="I51" s="2109"/>
      <c r="J51" s="2109"/>
      <c r="K51" s="2109"/>
      <c r="L51" s="2109"/>
      <c r="M51" s="2109"/>
      <c r="N51" s="2109"/>
      <c r="O51" s="2109"/>
      <c r="P51" s="67"/>
    </row>
    <row r="52" spans="1:16" ht="13.5" thickBot="1" x14ac:dyDescent="0.25">
      <c r="A52" s="2110" t="s">
        <v>146</v>
      </c>
      <c r="B52" s="2110"/>
      <c r="C52" s="2110"/>
      <c r="D52" s="2110"/>
      <c r="E52" s="2110"/>
      <c r="F52" s="2110"/>
      <c r="G52" s="2110"/>
      <c r="H52" s="2110"/>
      <c r="I52" s="2110"/>
      <c r="J52" s="2110"/>
      <c r="K52" s="2110"/>
      <c r="L52" s="2110"/>
      <c r="M52" s="2110"/>
      <c r="N52" s="2110"/>
      <c r="O52" s="2110"/>
      <c r="P52" s="67"/>
    </row>
    <row r="53" spans="1:16" ht="21" customHeight="1" x14ac:dyDescent="0.2">
      <c r="A53" s="2111" t="s">
        <v>135</v>
      </c>
      <c r="B53" s="2113" t="s">
        <v>142</v>
      </c>
      <c r="C53" s="2114"/>
      <c r="D53" s="2115" t="s">
        <v>136</v>
      </c>
      <c r="E53" s="2115"/>
      <c r="F53" s="2116" t="s">
        <v>137</v>
      </c>
      <c r="G53" s="2114"/>
      <c r="H53" s="2117" t="s">
        <v>147</v>
      </c>
      <c r="I53" s="2118"/>
      <c r="J53" s="2119" t="s">
        <v>138</v>
      </c>
      <c r="K53" s="2120"/>
      <c r="L53" s="2120"/>
      <c r="M53" s="2120"/>
      <c r="N53" s="2121"/>
      <c r="O53" s="2122" t="s">
        <v>139</v>
      </c>
    </row>
    <row r="54" spans="1:16" ht="13.5" thickBot="1" x14ac:dyDescent="0.25">
      <c r="A54" s="2112"/>
      <c r="B54" s="207" t="s">
        <v>140</v>
      </c>
      <c r="C54" s="21" t="s">
        <v>141</v>
      </c>
      <c r="D54" s="26" t="s">
        <v>140</v>
      </c>
      <c r="E54" s="26" t="s">
        <v>141</v>
      </c>
      <c r="F54" s="26" t="s">
        <v>140</v>
      </c>
      <c r="G54" s="27" t="s">
        <v>141</v>
      </c>
      <c r="H54" s="26" t="s">
        <v>140</v>
      </c>
      <c r="I54" s="27" t="s">
        <v>141</v>
      </c>
      <c r="J54" s="21" t="s">
        <v>142</v>
      </c>
      <c r="K54" s="21" t="s">
        <v>136</v>
      </c>
      <c r="L54" s="21" t="s">
        <v>143</v>
      </c>
      <c r="M54" s="21" t="s">
        <v>144</v>
      </c>
      <c r="N54" s="21" t="s">
        <v>145</v>
      </c>
      <c r="O54" s="2123"/>
    </row>
    <row r="55" spans="1:16" s="51" customFormat="1" ht="14.25" hidden="1" x14ac:dyDescent="0.2">
      <c r="A55" s="185" t="s">
        <v>436</v>
      </c>
      <c r="B55" s="188">
        <f>B16</f>
        <v>0</v>
      </c>
      <c r="C55" s="165">
        <v>7</v>
      </c>
      <c r="D55" s="165">
        <f>D16</f>
        <v>0</v>
      </c>
      <c r="E55" s="165">
        <v>7</v>
      </c>
      <c r="F55" s="166">
        <f>F16</f>
        <v>0</v>
      </c>
      <c r="G55" s="165">
        <v>7</v>
      </c>
      <c r="H55" s="166">
        <f>H16</f>
        <v>0</v>
      </c>
      <c r="I55" s="165">
        <v>1</v>
      </c>
      <c r="J55" s="165">
        <f t="shared" ref="J55:J59" si="127">B55*C55</f>
        <v>0</v>
      </c>
      <c r="K55" s="165">
        <f t="shared" ref="K55:K81" si="128">E55*D55</f>
        <v>0</v>
      </c>
      <c r="L55" s="165">
        <f t="shared" ref="L55:L81" si="129">G55*F55</f>
        <v>0</v>
      </c>
      <c r="M55" s="165">
        <f t="shared" ref="M55:M59" si="130">I55*H55</f>
        <v>0</v>
      </c>
      <c r="N55" s="165">
        <f t="shared" ref="N55:N83" si="131">L55+M55</f>
        <v>0</v>
      </c>
      <c r="O55" s="179">
        <f t="shared" ref="O55:O81" si="132">J55+K55+L55+M55</f>
        <v>0</v>
      </c>
      <c r="P55" s="111"/>
    </row>
    <row r="56" spans="1:16" s="51" customFormat="1" ht="28.5" x14ac:dyDescent="0.2">
      <c r="A56" s="185" t="s">
        <v>616</v>
      </c>
      <c r="B56" s="947"/>
      <c r="C56" s="165"/>
      <c r="D56" s="165"/>
      <c r="E56" s="165">
        <v>67</v>
      </c>
      <c r="F56" s="166">
        <f>F17</f>
        <v>0</v>
      </c>
      <c r="G56" s="165">
        <v>67</v>
      </c>
      <c r="H56" s="166">
        <f>H17</f>
        <v>0</v>
      </c>
      <c r="I56" s="165">
        <v>1</v>
      </c>
      <c r="J56" s="165">
        <f t="shared" si="127"/>
        <v>0</v>
      </c>
      <c r="K56" s="165">
        <f t="shared" si="128"/>
        <v>0</v>
      </c>
      <c r="L56" s="165">
        <f t="shared" si="129"/>
        <v>0</v>
      </c>
      <c r="M56" s="165">
        <f t="shared" si="130"/>
        <v>0</v>
      </c>
      <c r="N56" s="165">
        <f t="shared" si="131"/>
        <v>0</v>
      </c>
      <c r="O56" s="179">
        <f t="shared" si="132"/>
        <v>0</v>
      </c>
      <c r="P56" s="111"/>
    </row>
    <row r="57" spans="1:16" s="51" customFormat="1" ht="14.25" x14ac:dyDescent="0.2">
      <c r="A57" s="184" t="s">
        <v>814</v>
      </c>
      <c r="B57" s="946"/>
      <c r="C57" s="165"/>
      <c r="D57" s="165"/>
      <c r="E57" s="165">
        <v>70</v>
      </c>
      <c r="F57" s="166"/>
      <c r="G57" s="165">
        <v>70</v>
      </c>
      <c r="H57" s="166"/>
      <c r="I57" s="165">
        <v>1</v>
      </c>
      <c r="J57" s="165">
        <f t="shared" si="127"/>
        <v>0</v>
      </c>
      <c r="K57" s="165">
        <f t="shared" si="128"/>
        <v>0</v>
      </c>
      <c r="L57" s="165">
        <f t="shared" si="129"/>
        <v>0</v>
      </c>
      <c r="M57" s="165">
        <f t="shared" si="130"/>
        <v>0</v>
      </c>
      <c r="N57" s="165">
        <f t="shared" si="131"/>
        <v>0</v>
      </c>
      <c r="O57" s="179">
        <f t="shared" si="132"/>
        <v>0</v>
      </c>
      <c r="P57" s="111"/>
    </row>
    <row r="58" spans="1:16" s="51" customFormat="1" ht="15" x14ac:dyDescent="0.2">
      <c r="A58" s="185" t="s">
        <v>618</v>
      </c>
      <c r="B58" s="1104"/>
      <c r="C58" s="165"/>
      <c r="D58" s="165"/>
      <c r="E58" s="165">
        <v>51</v>
      </c>
      <c r="F58" s="166"/>
      <c r="G58" s="165">
        <v>51</v>
      </c>
      <c r="H58" s="166"/>
      <c r="I58" s="165">
        <v>1</v>
      </c>
      <c r="J58" s="165">
        <f t="shared" si="127"/>
        <v>0</v>
      </c>
      <c r="K58" s="165">
        <f t="shared" si="128"/>
        <v>0</v>
      </c>
      <c r="L58" s="165">
        <f t="shared" si="129"/>
        <v>0</v>
      </c>
      <c r="M58" s="165">
        <f t="shared" si="130"/>
        <v>0</v>
      </c>
      <c r="N58" s="165">
        <f t="shared" si="131"/>
        <v>0</v>
      </c>
      <c r="O58" s="179">
        <f t="shared" si="132"/>
        <v>0</v>
      </c>
      <c r="P58" s="111"/>
    </row>
    <row r="59" spans="1:16" s="51" customFormat="1" ht="14.25" hidden="1" x14ac:dyDescent="0.2">
      <c r="A59" s="185"/>
      <c r="B59" s="712"/>
      <c r="C59" s="944"/>
      <c r="D59" s="944">
        <f>D20</f>
        <v>0</v>
      </c>
      <c r="E59" s="944">
        <v>18</v>
      </c>
      <c r="F59" s="945">
        <f>F20</f>
        <v>0</v>
      </c>
      <c r="G59" s="944">
        <v>19</v>
      </c>
      <c r="H59" s="945">
        <f>H20</f>
        <v>0</v>
      </c>
      <c r="I59" s="944">
        <v>1</v>
      </c>
      <c r="J59" s="944">
        <f t="shared" si="127"/>
        <v>0</v>
      </c>
      <c r="K59" s="944">
        <f t="shared" si="128"/>
        <v>0</v>
      </c>
      <c r="L59" s="944">
        <f t="shared" si="129"/>
        <v>0</v>
      </c>
      <c r="M59" s="944">
        <f t="shared" si="130"/>
        <v>0</v>
      </c>
      <c r="N59" s="944">
        <f t="shared" si="131"/>
        <v>0</v>
      </c>
      <c r="O59" s="1103">
        <f t="shared" si="132"/>
        <v>0</v>
      </c>
      <c r="P59" s="111"/>
    </row>
    <row r="60" spans="1:16" s="776" customFormat="1" ht="15" x14ac:dyDescent="0.2">
      <c r="A60" s="782" t="s">
        <v>457</v>
      </c>
      <c r="B60" s="783"/>
      <c r="C60" s="784"/>
      <c r="D60" s="784"/>
      <c r="E60" s="784"/>
      <c r="F60" s="784"/>
      <c r="G60" s="784"/>
      <c r="H60" s="784"/>
      <c r="I60" s="784"/>
      <c r="J60" s="784">
        <f>B60*C60</f>
        <v>0</v>
      </c>
      <c r="K60" s="784">
        <f t="shared" si="128"/>
        <v>0</v>
      </c>
      <c r="L60" s="784">
        <f t="shared" si="129"/>
        <v>0</v>
      </c>
      <c r="M60" s="784">
        <f>I60*H60</f>
        <v>0</v>
      </c>
      <c r="N60" s="784">
        <f t="shared" si="131"/>
        <v>0</v>
      </c>
      <c r="O60" s="785">
        <f t="shared" si="132"/>
        <v>0</v>
      </c>
      <c r="P60" s="775"/>
    </row>
    <row r="61" spans="1:16" s="776" customFormat="1" ht="14.25" hidden="1" x14ac:dyDescent="0.2">
      <c r="A61" s="777" t="s">
        <v>594</v>
      </c>
      <c r="B61" s="778"/>
      <c r="C61" s="779">
        <v>7</v>
      </c>
      <c r="D61" s="779"/>
      <c r="E61" s="779"/>
      <c r="F61" s="779"/>
      <c r="G61" s="779"/>
      <c r="H61" s="779"/>
      <c r="I61" s="779"/>
      <c r="J61" s="779">
        <f t="shared" ref="J61:J80" si="133">B61*C61</f>
        <v>0</v>
      </c>
      <c r="K61" s="779">
        <f t="shared" si="128"/>
        <v>0</v>
      </c>
      <c r="L61" s="779">
        <f t="shared" si="129"/>
        <v>0</v>
      </c>
      <c r="M61" s="779">
        <f t="shared" ref="M61:M80" si="134">I61*H61</f>
        <v>0</v>
      </c>
      <c r="N61" s="779">
        <f t="shared" si="131"/>
        <v>0</v>
      </c>
      <c r="O61" s="780">
        <f t="shared" si="132"/>
        <v>0</v>
      </c>
      <c r="P61" s="781"/>
    </row>
    <row r="62" spans="1:16" s="776" customFormat="1" ht="14.25" hidden="1" x14ac:dyDescent="0.2">
      <c r="A62" s="777" t="s">
        <v>459</v>
      </c>
      <c r="B62" s="778"/>
      <c r="C62" s="779">
        <v>11</v>
      </c>
      <c r="D62" s="779"/>
      <c r="E62" s="779"/>
      <c r="F62" s="779"/>
      <c r="G62" s="779"/>
      <c r="H62" s="779"/>
      <c r="I62" s="779"/>
      <c r="J62" s="779">
        <f t="shared" si="133"/>
        <v>0</v>
      </c>
      <c r="K62" s="779">
        <f t="shared" si="128"/>
        <v>0</v>
      </c>
      <c r="L62" s="779">
        <f t="shared" si="129"/>
        <v>0</v>
      </c>
      <c r="M62" s="779">
        <f t="shared" si="134"/>
        <v>0</v>
      </c>
      <c r="N62" s="779">
        <f t="shared" si="131"/>
        <v>0</v>
      </c>
      <c r="O62" s="780">
        <f t="shared" si="132"/>
        <v>0</v>
      </c>
      <c r="P62" s="781"/>
    </row>
    <row r="63" spans="1:16" s="776" customFormat="1" ht="14.25" hidden="1" x14ac:dyDescent="0.2">
      <c r="A63" s="777" t="s">
        <v>605</v>
      </c>
      <c r="B63" s="778"/>
      <c r="C63" s="779">
        <v>3</v>
      </c>
      <c r="D63" s="779"/>
      <c r="E63" s="779"/>
      <c r="F63" s="779"/>
      <c r="G63" s="779">
        <v>3</v>
      </c>
      <c r="H63" s="779"/>
      <c r="I63" s="779">
        <v>1</v>
      </c>
      <c r="J63" s="779">
        <f t="shared" si="133"/>
        <v>0</v>
      </c>
      <c r="K63" s="779">
        <f t="shared" si="128"/>
        <v>0</v>
      </c>
      <c r="L63" s="779">
        <f t="shared" si="129"/>
        <v>0</v>
      </c>
      <c r="M63" s="779">
        <f t="shared" si="134"/>
        <v>0</v>
      </c>
      <c r="N63" s="779">
        <f t="shared" si="131"/>
        <v>0</v>
      </c>
      <c r="O63" s="780">
        <f t="shared" si="132"/>
        <v>0</v>
      </c>
      <c r="P63" s="781"/>
    </row>
    <row r="64" spans="1:16" s="776" customFormat="1" ht="14.25" x14ac:dyDescent="0.2">
      <c r="A64" s="777" t="s">
        <v>593</v>
      </c>
      <c r="B64" s="778"/>
      <c r="C64" s="779"/>
      <c r="D64" s="779"/>
      <c r="E64" s="779"/>
      <c r="F64" s="779"/>
      <c r="G64" s="779">
        <v>3</v>
      </c>
      <c r="H64" s="779">
        <f>H25</f>
        <v>480.64589999999959</v>
      </c>
      <c r="I64" s="779">
        <v>1</v>
      </c>
      <c r="J64" s="779">
        <f t="shared" si="133"/>
        <v>0</v>
      </c>
      <c r="K64" s="779">
        <f t="shared" si="128"/>
        <v>0</v>
      </c>
      <c r="L64" s="779">
        <f t="shared" si="129"/>
        <v>0</v>
      </c>
      <c r="M64" s="779">
        <f t="shared" si="134"/>
        <v>480.64589999999959</v>
      </c>
      <c r="N64" s="779">
        <f t="shared" si="131"/>
        <v>480.64589999999959</v>
      </c>
      <c r="O64" s="780">
        <f t="shared" si="132"/>
        <v>480.64589999999959</v>
      </c>
      <c r="P64" s="781"/>
    </row>
    <row r="65" spans="1:17" s="776" customFormat="1" ht="14.25" x14ac:dyDescent="0.2">
      <c r="A65" s="777" t="s">
        <v>617</v>
      </c>
      <c r="B65" s="778"/>
      <c r="C65" s="779"/>
      <c r="D65" s="779"/>
      <c r="E65" s="779"/>
      <c r="F65" s="779"/>
      <c r="G65" s="779">
        <v>3</v>
      </c>
      <c r="H65" s="779">
        <f>H26</f>
        <v>904.91333400000121</v>
      </c>
      <c r="I65" s="779">
        <v>1</v>
      </c>
      <c r="J65" s="779">
        <f t="shared" si="133"/>
        <v>0</v>
      </c>
      <c r="K65" s="779">
        <f t="shared" si="128"/>
        <v>0</v>
      </c>
      <c r="L65" s="779">
        <f t="shared" si="129"/>
        <v>0</v>
      </c>
      <c r="M65" s="779">
        <f t="shared" si="134"/>
        <v>904.91333400000121</v>
      </c>
      <c r="N65" s="779">
        <f t="shared" si="131"/>
        <v>904.91333400000121</v>
      </c>
      <c r="O65" s="780">
        <f t="shared" si="132"/>
        <v>904.91333400000121</v>
      </c>
      <c r="P65" s="781"/>
    </row>
    <row r="66" spans="1:17" s="776" customFormat="1" ht="14.25" hidden="1" x14ac:dyDescent="0.2">
      <c r="A66" s="777" t="s">
        <v>462</v>
      </c>
      <c r="B66" s="778"/>
      <c r="C66" s="779"/>
      <c r="D66" s="779"/>
      <c r="E66" s="779">
        <v>3</v>
      </c>
      <c r="F66" s="779"/>
      <c r="G66" s="779"/>
      <c r="H66" s="779"/>
      <c r="I66" s="779"/>
      <c r="J66" s="779">
        <f t="shared" si="133"/>
        <v>0</v>
      </c>
      <c r="K66" s="779">
        <f t="shared" si="128"/>
        <v>0</v>
      </c>
      <c r="L66" s="779">
        <f t="shared" si="129"/>
        <v>0</v>
      </c>
      <c r="M66" s="779">
        <f t="shared" si="134"/>
        <v>0</v>
      </c>
      <c r="N66" s="779">
        <f t="shared" si="131"/>
        <v>0</v>
      </c>
      <c r="O66" s="780">
        <f t="shared" si="132"/>
        <v>0</v>
      </c>
      <c r="P66" s="781"/>
    </row>
    <row r="67" spans="1:17" s="776" customFormat="1" ht="14.25" hidden="1" x14ac:dyDescent="0.2">
      <c r="A67" s="777" t="s">
        <v>483</v>
      </c>
      <c r="B67" s="778"/>
      <c r="C67" s="779"/>
      <c r="D67" s="779"/>
      <c r="E67" s="779">
        <v>3</v>
      </c>
      <c r="F67" s="779"/>
      <c r="G67" s="779"/>
      <c r="H67" s="779"/>
      <c r="I67" s="779"/>
      <c r="J67" s="779">
        <f t="shared" si="133"/>
        <v>0</v>
      </c>
      <c r="K67" s="779">
        <f t="shared" si="128"/>
        <v>0</v>
      </c>
      <c r="L67" s="779">
        <f t="shared" si="129"/>
        <v>0</v>
      </c>
      <c r="M67" s="779">
        <f t="shared" si="134"/>
        <v>0</v>
      </c>
      <c r="N67" s="779">
        <f t="shared" si="131"/>
        <v>0</v>
      </c>
      <c r="O67" s="780">
        <f t="shared" si="132"/>
        <v>0</v>
      </c>
      <c r="P67" s="781"/>
    </row>
    <row r="68" spans="1:17" s="776" customFormat="1" ht="14.25" hidden="1" x14ac:dyDescent="0.2">
      <c r="A68" s="777" t="s">
        <v>592</v>
      </c>
      <c r="B68" s="778"/>
      <c r="C68" s="779"/>
      <c r="D68" s="779"/>
      <c r="E68" s="779">
        <v>3</v>
      </c>
      <c r="F68" s="779"/>
      <c r="G68" s="779"/>
      <c r="H68" s="779"/>
      <c r="I68" s="779"/>
      <c r="J68" s="779">
        <f t="shared" si="133"/>
        <v>0</v>
      </c>
      <c r="K68" s="779">
        <f t="shared" si="128"/>
        <v>0</v>
      </c>
      <c r="L68" s="779">
        <f t="shared" si="129"/>
        <v>0</v>
      </c>
      <c r="M68" s="779">
        <f t="shared" si="134"/>
        <v>0</v>
      </c>
      <c r="N68" s="779">
        <f t="shared" si="131"/>
        <v>0</v>
      </c>
      <c r="O68" s="780">
        <f t="shared" si="132"/>
        <v>0</v>
      </c>
      <c r="P68" s="781"/>
    </row>
    <row r="69" spans="1:17" s="956" customFormat="1" ht="18" customHeight="1" x14ac:dyDescent="0.2">
      <c r="A69" s="951" t="s">
        <v>507</v>
      </c>
      <c r="B69" s="952"/>
      <c r="C69" s="953"/>
      <c r="D69" s="953"/>
      <c r="E69" s="953"/>
      <c r="F69" s="953"/>
      <c r="G69" s="953"/>
      <c r="H69" s="953"/>
      <c r="I69" s="953"/>
      <c r="J69" s="953">
        <f t="shared" si="133"/>
        <v>0</v>
      </c>
      <c r="K69" s="953">
        <f t="shared" si="128"/>
        <v>0</v>
      </c>
      <c r="L69" s="953">
        <f t="shared" si="129"/>
        <v>0</v>
      </c>
      <c r="M69" s="953">
        <f t="shared" si="134"/>
        <v>0</v>
      </c>
      <c r="N69" s="953">
        <f t="shared" si="131"/>
        <v>0</v>
      </c>
      <c r="O69" s="954">
        <f t="shared" si="132"/>
        <v>0</v>
      </c>
      <c r="P69" s="955"/>
    </row>
    <row r="70" spans="1:17" s="956" customFormat="1" ht="14.25" hidden="1" x14ac:dyDescent="0.2">
      <c r="A70" s="950" t="s">
        <v>606</v>
      </c>
      <c r="B70" s="952">
        <f>B31</f>
        <v>0</v>
      </c>
      <c r="C70" s="953">
        <v>1</v>
      </c>
      <c r="D70" s="953"/>
      <c r="E70" s="953"/>
      <c r="F70" s="953"/>
      <c r="G70" s="953"/>
      <c r="H70" s="953"/>
      <c r="I70" s="953"/>
      <c r="J70" s="953">
        <f t="shared" si="133"/>
        <v>0</v>
      </c>
      <c r="K70" s="953">
        <f t="shared" si="128"/>
        <v>0</v>
      </c>
      <c r="L70" s="953">
        <f t="shared" si="129"/>
        <v>0</v>
      </c>
      <c r="M70" s="953">
        <f t="shared" si="134"/>
        <v>0</v>
      </c>
      <c r="N70" s="953">
        <f t="shared" si="131"/>
        <v>0</v>
      </c>
      <c r="O70" s="954">
        <f t="shared" si="132"/>
        <v>0</v>
      </c>
      <c r="P70" s="955"/>
    </row>
    <row r="71" spans="1:17" s="956" customFormat="1" ht="14.25" hidden="1" x14ac:dyDescent="0.2">
      <c r="A71" s="950" t="s">
        <v>522</v>
      </c>
      <c r="B71" s="952"/>
      <c r="C71" s="953">
        <v>7</v>
      </c>
      <c r="D71" s="953"/>
      <c r="E71" s="953"/>
      <c r="F71" s="953"/>
      <c r="G71" s="953"/>
      <c r="H71" s="953"/>
      <c r="I71" s="953"/>
      <c r="J71" s="953">
        <f t="shared" si="133"/>
        <v>0</v>
      </c>
      <c r="K71" s="953">
        <f t="shared" si="128"/>
        <v>0</v>
      </c>
      <c r="L71" s="953">
        <f t="shared" si="129"/>
        <v>0</v>
      </c>
      <c r="M71" s="953">
        <f t="shared" si="134"/>
        <v>0</v>
      </c>
      <c r="N71" s="953">
        <f t="shared" si="131"/>
        <v>0</v>
      </c>
      <c r="O71" s="954">
        <f t="shared" si="132"/>
        <v>0</v>
      </c>
      <c r="P71" s="955"/>
    </row>
    <row r="72" spans="1:17" s="956" customFormat="1" ht="14.25" x14ac:dyDescent="0.2">
      <c r="A72" s="950" t="s">
        <v>463</v>
      </c>
      <c r="B72" s="952"/>
      <c r="C72" s="953">
        <v>1</v>
      </c>
      <c r="D72" s="953"/>
      <c r="E72" s="953"/>
      <c r="F72" s="953"/>
      <c r="G72" s="953"/>
      <c r="H72" s="953"/>
      <c r="I72" s="953"/>
      <c r="J72" s="953">
        <f t="shared" si="133"/>
        <v>0</v>
      </c>
      <c r="K72" s="953">
        <f t="shared" si="128"/>
        <v>0</v>
      </c>
      <c r="L72" s="953">
        <f t="shared" si="129"/>
        <v>0</v>
      </c>
      <c r="M72" s="953">
        <f t="shared" si="134"/>
        <v>0</v>
      </c>
      <c r="N72" s="953">
        <f t="shared" si="131"/>
        <v>0</v>
      </c>
      <c r="O72" s="954">
        <f t="shared" si="132"/>
        <v>0</v>
      </c>
      <c r="P72" s="955"/>
    </row>
    <row r="73" spans="1:17" s="956" customFormat="1" ht="14.25" hidden="1" x14ac:dyDescent="0.2">
      <c r="A73" s="950" t="s">
        <v>458</v>
      </c>
      <c r="B73" s="952"/>
      <c r="C73" s="953">
        <v>58</v>
      </c>
      <c r="D73" s="953"/>
      <c r="E73" s="953"/>
      <c r="F73" s="953"/>
      <c r="G73" s="953"/>
      <c r="H73" s="953"/>
      <c r="I73" s="953"/>
      <c r="J73" s="953">
        <f t="shared" si="133"/>
        <v>0</v>
      </c>
      <c r="K73" s="953">
        <f t="shared" si="128"/>
        <v>0</v>
      </c>
      <c r="L73" s="953">
        <f t="shared" si="129"/>
        <v>0</v>
      </c>
      <c r="M73" s="953">
        <f t="shared" si="134"/>
        <v>0</v>
      </c>
      <c r="N73" s="953">
        <f t="shared" si="131"/>
        <v>0</v>
      </c>
      <c r="O73" s="954">
        <f t="shared" si="132"/>
        <v>0</v>
      </c>
      <c r="P73" s="955"/>
    </row>
    <row r="74" spans="1:17" s="956" customFormat="1" ht="14.25" x14ac:dyDescent="0.2">
      <c r="A74" s="950" t="s">
        <v>459</v>
      </c>
      <c r="B74" s="952"/>
      <c r="C74" s="953">
        <v>14</v>
      </c>
      <c r="D74" s="953"/>
      <c r="E74" s="953"/>
      <c r="F74" s="953"/>
      <c r="G74" s="953"/>
      <c r="H74" s="953"/>
      <c r="I74" s="953"/>
      <c r="J74" s="953">
        <f t="shared" si="133"/>
        <v>0</v>
      </c>
      <c r="K74" s="953">
        <f t="shared" si="128"/>
        <v>0</v>
      </c>
      <c r="L74" s="953">
        <f t="shared" si="129"/>
        <v>0</v>
      </c>
      <c r="M74" s="953">
        <f t="shared" si="134"/>
        <v>0</v>
      </c>
      <c r="N74" s="953">
        <f t="shared" si="131"/>
        <v>0</v>
      </c>
      <c r="O74" s="954">
        <f t="shared" si="132"/>
        <v>0</v>
      </c>
      <c r="P74" s="955"/>
    </row>
    <row r="75" spans="1:17" s="956" customFormat="1" ht="14.25" x14ac:dyDescent="0.2">
      <c r="A75" s="950" t="s">
        <v>855</v>
      </c>
      <c r="B75" s="952"/>
      <c r="C75" s="953">
        <v>62</v>
      </c>
      <c r="D75" s="953"/>
      <c r="E75" s="953"/>
      <c r="F75" s="953"/>
      <c r="G75" s="953"/>
      <c r="H75" s="953"/>
      <c r="I75" s="953"/>
      <c r="J75" s="953">
        <f t="shared" si="133"/>
        <v>0</v>
      </c>
      <c r="K75" s="953">
        <f t="shared" si="128"/>
        <v>0</v>
      </c>
      <c r="L75" s="953">
        <f t="shared" si="129"/>
        <v>0</v>
      </c>
      <c r="M75" s="953">
        <f t="shared" si="134"/>
        <v>0</v>
      </c>
      <c r="N75" s="953">
        <f t="shared" si="131"/>
        <v>0</v>
      </c>
      <c r="O75" s="954">
        <f t="shared" si="132"/>
        <v>0</v>
      </c>
      <c r="P75" s="955"/>
    </row>
    <row r="76" spans="1:17" s="956" customFormat="1" ht="14.25" x14ac:dyDescent="0.2">
      <c r="A76" s="950" t="s">
        <v>461</v>
      </c>
      <c r="B76" s="952"/>
      <c r="C76" s="953"/>
      <c r="D76" s="953"/>
      <c r="E76" s="953"/>
      <c r="F76" s="953"/>
      <c r="G76" s="953">
        <v>6</v>
      </c>
      <c r="H76" s="953"/>
      <c r="I76" s="953"/>
      <c r="J76" s="953">
        <f t="shared" si="133"/>
        <v>0</v>
      </c>
      <c r="K76" s="953">
        <f t="shared" si="128"/>
        <v>0</v>
      </c>
      <c r="L76" s="953">
        <f t="shared" si="129"/>
        <v>0</v>
      </c>
      <c r="M76" s="953">
        <f t="shared" si="134"/>
        <v>0</v>
      </c>
      <c r="N76" s="953">
        <f t="shared" si="131"/>
        <v>0</v>
      </c>
      <c r="O76" s="954">
        <f t="shared" si="132"/>
        <v>0</v>
      </c>
      <c r="P76" s="955"/>
      <c r="Q76" s="1107"/>
    </row>
    <row r="77" spans="1:17" s="956" customFormat="1" ht="14.25" x14ac:dyDescent="0.2">
      <c r="A77" s="950" t="s">
        <v>460</v>
      </c>
      <c r="B77" s="952"/>
      <c r="C77" s="953"/>
      <c r="D77" s="953"/>
      <c r="E77" s="953"/>
      <c r="F77" s="953"/>
      <c r="G77" s="953">
        <v>6</v>
      </c>
      <c r="H77" s="953">
        <f>H38</f>
        <v>3984.0872000000008</v>
      </c>
      <c r="I77" s="953">
        <v>1</v>
      </c>
      <c r="J77" s="953">
        <f t="shared" si="133"/>
        <v>0</v>
      </c>
      <c r="K77" s="953">
        <f t="shared" si="128"/>
        <v>0</v>
      </c>
      <c r="L77" s="953">
        <f t="shared" si="129"/>
        <v>0</v>
      </c>
      <c r="M77" s="953">
        <f t="shared" si="134"/>
        <v>3984.0872000000008</v>
      </c>
      <c r="N77" s="953">
        <f t="shared" si="131"/>
        <v>3984.0872000000008</v>
      </c>
      <c r="O77" s="954">
        <f t="shared" si="132"/>
        <v>3984.0872000000008</v>
      </c>
      <c r="P77" s="955"/>
    </row>
    <row r="78" spans="1:17" s="956" customFormat="1" ht="14.25" x14ac:dyDescent="0.2">
      <c r="A78" s="950" t="s">
        <v>462</v>
      </c>
      <c r="B78" s="952"/>
      <c r="C78" s="953"/>
      <c r="D78" s="953"/>
      <c r="E78" s="953">
        <v>6</v>
      </c>
      <c r="F78" s="953"/>
      <c r="G78" s="953"/>
      <c r="H78" s="953"/>
      <c r="I78" s="953"/>
      <c r="J78" s="953">
        <f t="shared" si="133"/>
        <v>0</v>
      </c>
      <c r="K78" s="953">
        <f t="shared" si="128"/>
        <v>0</v>
      </c>
      <c r="L78" s="953">
        <f t="shared" si="129"/>
        <v>0</v>
      </c>
      <c r="M78" s="953">
        <f t="shared" si="134"/>
        <v>0</v>
      </c>
      <c r="N78" s="953">
        <f t="shared" si="131"/>
        <v>0</v>
      </c>
      <c r="O78" s="954">
        <f t="shared" si="132"/>
        <v>0</v>
      </c>
      <c r="P78" s="955"/>
    </row>
    <row r="79" spans="1:17" s="956" customFormat="1" ht="14.25" x14ac:dyDescent="0.2">
      <c r="A79" s="950" t="s">
        <v>483</v>
      </c>
      <c r="B79" s="952"/>
      <c r="C79" s="953"/>
      <c r="D79" s="953"/>
      <c r="E79" s="953">
        <v>6</v>
      </c>
      <c r="F79" s="953"/>
      <c r="G79" s="953"/>
      <c r="H79" s="953"/>
      <c r="I79" s="953"/>
      <c r="J79" s="953">
        <f t="shared" si="133"/>
        <v>0</v>
      </c>
      <c r="K79" s="953">
        <f t="shared" si="128"/>
        <v>0</v>
      </c>
      <c r="L79" s="953">
        <f t="shared" si="129"/>
        <v>0</v>
      </c>
      <c r="M79" s="953">
        <f t="shared" si="134"/>
        <v>0</v>
      </c>
      <c r="N79" s="953">
        <f t="shared" si="131"/>
        <v>0</v>
      </c>
      <c r="O79" s="954">
        <f t="shared" si="132"/>
        <v>0</v>
      </c>
      <c r="P79" s="955"/>
    </row>
    <row r="80" spans="1:17" s="1774" customFormat="1" ht="14.25" hidden="1" x14ac:dyDescent="0.2">
      <c r="A80" s="1775" t="s">
        <v>592</v>
      </c>
      <c r="B80" s="1770"/>
      <c r="C80" s="1771"/>
      <c r="D80" s="1771"/>
      <c r="E80" s="1771">
        <v>6</v>
      </c>
      <c r="F80" s="1771"/>
      <c r="G80" s="1771"/>
      <c r="H80" s="1771"/>
      <c r="I80" s="1771"/>
      <c r="J80" s="1771">
        <f t="shared" si="133"/>
        <v>0</v>
      </c>
      <c r="K80" s="1771">
        <f t="shared" si="128"/>
        <v>0</v>
      </c>
      <c r="L80" s="1771">
        <f t="shared" si="129"/>
        <v>0</v>
      </c>
      <c r="M80" s="1771">
        <f t="shared" si="134"/>
        <v>0</v>
      </c>
      <c r="N80" s="1771">
        <f t="shared" si="131"/>
        <v>0</v>
      </c>
      <c r="O80" s="1772">
        <f t="shared" si="132"/>
        <v>0</v>
      </c>
      <c r="P80" s="1773"/>
    </row>
    <row r="81" spans="1:16" s="71" customFormat="1" ht="14.25" hidden="1" x14ac:dyDescent="0.2">
      <c r="A81" s="949" t="s">
        <v>410</v>
      </c>
      <c r="B81" s="386"/>
      <c r="C81" s="387"/>
      <c r="D81" s="387"/>
      <c r="E81" s="387">
        <v>73</v>
      </c>
      <c r="F81" s="387"/>
      <c r="G81" s="387">
        <v>76</v>
      </c>
      <c r="H81" s="387"/>
      <c r="I81" s="387">
        <v>1</v>
      </c>
      <c r="J81" s="387">
        <f>B81*C81</f>
        <v>0</v>
      </c>
      <c r="K81" s="387">
        <f t="shared" si="128"/>
        <v>0</v>
      </c>
      <c r="L81" s="387">
        <f t="shared" si="129"/>
        <v>0</v>
      </c>
      <c r="M81" s="387">
        <f>I81*H81</f>
        <v>0</v>
      </c>
      <c r="N81" s="387">
        <f t="shared" si="131"/>
        <v>0</v>
      </c>
      <c r="O81" s="475">
        <f t="shared" si="132"/>
        <v>0</v>
      </c>
      <c r="P81" s="948"/>
    </row>
    <row r="82" spans="1:16" s="71" customFormat="1" ht="16.5" hidden="1" customHeight="1" x14ac:dyDescent="0.2">
      <c r="A82" s="1776" t="s">
        <v>590</v>
      </c>
      <c r="B82" s="386"/>
      <c r="C82" s="387"/>
      <c r="D82" s="387"/>
      <c r="E82" s="387">
        <v>22</v>
      </c>
      <c r="F82" s="387"/>
      <c r="G82" s="387">
        <v>21</v>
      </c>
      <c r="H82" s="387"/>
      <c r="I82" s="387">
        <v>1</v>
      </c>
      <c r="J82" s="387">
        <f t="shared" ref="J82:J83" si="135">C82*B82</f>
        <v>0</v>
      </c>
      <c r="K82" s="387">
        <f t="shared" ref="K82:K83" si="136">D82*E82</f>
        <v>0</v>
      </c>
      <c r="L82" s="387">
        <f t="shared" ref="L82:L83" si="137">F82*G82</f>
        <v>0</v>
      </c>
      <c r="M82" s="387">
        <f t="shared" ref="M82:M83" si="138">H82*I82</f>
        <v>0</v>
      </c>
      <c r="N82" s="387">
        <f t="shared" si="131"/>
        <v>0</v>
      </c>
      <c r="O82" s="475">
        <f t="shared" ref="O82:O83" si="139">J82+K82+N82</f>
        <v>0</v>
      </c>
    </row>
    <row r="83" spans="1:16" s="71" customFormat="1" ht="14.25" hidden="1" x14ac:dyDescent="0.2">
      <c r="A83" s="1776" t="s">
        <v>591</v>
      </c>
      <c r="B83" s="386"/>
      <c r="C83" s="387"/>
      <c r="D83" s="387"/>
      <c r="E83" s="387">
        <v>22</v>
      </c>
      <c r="F83" s="387"/>
      <c r="G83" s="387">
        <v>21</v>
      </c>
      <c r="H83" s="387"/>
      <c r="I83" s="387">
        <v>1</v>
      </c>
      <c r="J83" s="387">
        <f t="shared" si="135"/>
        <v>0</v>
      </c>
      <c r="K83" s="387">
        <f t="shared" si="136"/>
        <v>0</v>
      </c>
      <c r="L83" s="387">
        <f t="shared" si="137"/>
        <v>0</v>
      </c>
      <c r="M83" s="387">
        <f t="shared" si="138"/>
        <v>0</v>
      </c>
      <c r="N83" s="387">
        <f t="shared" si="131"/>
        <v>0</v>
      </c>
      <c r="O83" s="475">
        <f t="shared" si="139"/>
        <v>0</v>
      </c>
    </row>
    <row r="84" spans="1:16" s="1112" customFormat="1" ht="8.25" x14ac:dyDescent="0.15">
      <c r="A84" s="1108"/>
      <c r="B84" s="1109"/>
      <c r="C84" s="1110"/>
      <c r="D84" s="1110"/>
      <c r="E84" s="1110"/>
      <c r="F84" s="1110"/>
      <c r="G84" s="1110"/>
      <c r="H84" s="1110"/>
      <c r="I84" s="1110"/>
      <c r="J84" s="1110"/>
      <c r="K84" s="1110"/>
      <c r="L84" s="1110"/>
      <c r="M84" s="1110"/>
      <c r="N84" s="1110"/>
      <c r="O84" s="1111"/>
    </row>
    <row r="85" spans="1:16" s="51" customFormat="1" ht="15" x14ac:dyDescent="0.2">
      <c r="A85" s="191" t="s">
        <v>445</v>
      </c>
      <c r="B85" s="187">
        <f>B46</f>
        <v>0</v>
      </c>
      <c r="C85" s="165">
        <v>35</v>
      </c>
      <c r="D85" s="165">
        <f>Содержание!G10</f>
        <v>150.72317262830484</v>
      </c>
      <c r="E85" s="165">
        <v>35</v>
      </c>
      <c r="F85" s="165">
        <f>план!AU75*план!AU95</f>
        <v>216.19999999999996</v>
      </c>
      <c r="G85" s="165">
        <v>35</v>
      </c>
      <c r="H85" s="165">
        <f>H46</f>
        <v>769.18591549295775</v>
      </c>
      <c r="I85" s="165">
        <v>1</v>
      </c>
      <c r="J85" s="165">
        <f t="shared" ref="J85:J87" si="140">B85*C85</f>
        <v>0</v>
      </c>
      <c r="K85" s="165">
        <f t="shared" ref="K85:K87" si="141">D85*E85</f>
        <v>5275.3110419906698</v>
      </c>
      <c r="L85" s="165">
        <f>F85*G85</f>
        <v>7566.9999999999982</v>
      </c>
      <c r="M85" s="165">
        <f>H85*I85</f>
        <v>769.18591549295775</v>
      </c>
      <c r="N85" s="165">
        <f>L85+M85</f>
        <v>8336.1859154929552</v>
      </c>
      <c r="O85" s="179">
        <f>J85+K85+L85+M85</f>
        <v>13611.496957483625</v>
      </c>
    </row>
    <row r="86" spans="1:16" s="51" customFormat="1" ht="20.25" hidden="1" customHeight="1" x14ac:dyDescent="0.2">
      <c r="A86" s="713" t="s">
        <v>250</v>
      </c>
      <c r="B86" s="187"/>
      <c r="C86" s="165"/>
      <c r="D86" s="165"/>
      <c r="E86" s="165"/>
      <c r="F86" s="165"/>
      <c r="G86" s="165"/>
      <c r="H86" s="165"/>
      <c r="I86" s="165">
        <v>1</v>
      </c>
      <c r="J86" s="165">
        <f t="shared" si="140"/>
        <v>0</v>
      </c>
      <c r="K86" s="165">
        <f t="shared" si="141"/>
        <v>0</v>
      </c>
      <c r="L86" s="165">
        <f t="shared" ref="L86:L87" si="142">F86*G86</f>
        <v>0</v>
      </c>
      <c r="M86" s="165">
        <f t="shared" ref="M86:M87" si="143">H86*I86</f>
        <v>0</v>
      </c>
      <c r="N86" s="165">
        <f t="shared" ref="N86:N87" si="144">L86+M86</f>
        <v>0</v>
      </c>
      <c r="O86" s="179">
        <f>J86+K86+N86</f>
        <v>0</v>
      </c>
    </row>
    <row r="87" spans="1:16" s="51" customFormat="1" ht="13.5" thickBot="1" x14ac:dyDescent="0.25">
      <c r="A87" s="186" t="s">
        <v>148</v>
      </c>
      <c r="B87" s="189">
        <f>B48</f>
        <v>0</v>
      </c>
      <c r="C87" s="167">
        <v>0</v>
      </c>
      <c r="D87" s="167"/>
      <c r="E87" s="167"/>
      <c r="F87" s="167"/>
      <c r="G87" s="167"/>
      <c r="H87" s="167">
        <f>H48*40%</f>
        <v>2796.9381210624329</v>
      </c>
      <c r="I87" s="167">
        <v>3</v>
      </c>
      <c r="J87" s="167">
        <f t="shared" si="140"/>
        <v>0</v>
      </c>
      <c r="K87" s="167">
        <f t="shared" si="141"/>
        <v>0</v>
      </c>
      <c r="L87" s="167">
        <f t="shared" si="142"/>
        <v>0</v>
      </c>
      <c r="M87" s="167">
        <f t="shared" si="143"/>
        <v>8390.814363187299</v>
      </c>
      <c r="N87" s="167">
        <f t="shared" si="144"/>
        <v>8390.814363187299</v>
      </c>
      <c r="O87" s="180">
        <f>J87+K87+N87</f>
        <v>8390.814363187299</v>
      </c>
    </row>
    <row r="88" spans="1:16" s="34" customFormat="1" ht="17.25" customHeight="1" thickBot="1" x14ac:dyDescent="0.3">
      <c r="A88" s="197" t="s">
        <v>256</v>
      </c>
      <c r="B88" s="549">
        <f>SUM(B55:B87)</f>
        <v>0</v>
      </c>
      <c r="C88" s="550"/>
      <c r="D88" s="550">
        <f>SUM(D55:D87)</f>
        <v>150.72317262830484</v>
      </c>
      <c r="E88" s="550"/>
      <c r="F88" s="550">
        <f>SUM(F55:F87)</f>
        <v>216.19999999999996</v>
      </c>
      <c r="G88" s="550"/>
      <c r="H88" s="550">
        <f>SUM(H55:H87)</f>
        <v>8935.7704705553933</v>
      </c>
      <c r="I88" s="550"/>
      <c r="J88" s="550">
        <f t="shared" ref="J88:O88" si="145">SUM(J55:J87)</f>
        <v>0</v>
      </c>
      <c r="K88" s="550">
        <f t="shared" si="145"/>
        <v>5275.3110419906698</v>
      </c>
      <c r="L88" s="550">
        <f t="shared" si="145"/>
        <v>7566.9999999999982</v>
      </c>
      <c r="M88" s="550">
        <f t="shared" si="145"/>
        <v>14529.64671268026</v>
      </c>
      <c r="N88" s="550">
        <f t="shared" si="145"/>
        <v>22096.646712680256</v>
      </c>
      <c r="O88" s="551">
        <f t="shared" si="145"/>
        <v>27371.957754670926</v>
      </c>
    </row>
    <row r="89" spans="1:16" ht="8.25" customHeight="1" x14ac:dyDescent="0.2">
      <c r="A89" s="9"/>
      <c r="B89" s="719"/>
      <c r="C89" s="719"/>
      <c r="D89" s="719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</row>
    <row r="90" spans="1:16" ht="8.25" hidden="1" customHeight="1" x14ac:dyDescent="0.2">
      <c r="A90" s="9"/>
      <c r="B90" s="719"/>
      <c r="C90" s="719"/>
      <c r="D90" s="719"/>
      <c r="E90" s="719"/>
      <c r="F90" s="719"/>
      <c r="G90" s="719"/>
      <c r="H90" s="719"/>
      <c r="I90" s="719"/>
      <c r="J90" s="719"/>
      <c r="K90" s="719"/>
      <c r="L90" s="719"/>
      <c r="M90" s="719"/>
      <c r="N90" s="719"/>
      <c r="O90" s="719"/>
    </row>
    <row r="91" spans="1:16" ht="8.25" hidden="1" customHeight="1" x14ac:dyDescent="0.2">
      <c r="A91" s="9"/>
      <c r="B91" s="719"/>
      <c r="C91" s="719"/>
      <c r="D91" s="719"/>
      <c r="E91" s="719"/>
      <c r="F91" s="719"/>
      <c r="G91" s="719"/>
      <c r="H91" s="719"/>
      <c r="I91" s="719"/>
      <c r="J91" s="719"/>
      <c r="K91" s="719"/>
      <c r="L91" s="719"/>
      <c r="M91" s="719"/>
      <c r="N91" s="719"/>
      <c r="O91" s="719"/>
    </row>
    <row r="92" spans="1:16" ht="20.25" hidden="1" customHeight="1" x14ac:dyDescent="0.2">
      <c r="A92" s="9"/>
      <c r="B92" s="719"/>
      <c r="C92" s="719"/>
      <c r="D92" s="719"/>
      <c r="E92" s="719"/>
      <c r="F92" s="719"/>
      <c r="G92" s="719"/>
      <c r="H92" s="719"/>
      <c r="I92" s="719"/>
      <c r="J92" s="719"/>
      <c r="K92" s="719"/>
      <c r="L92" s="719"/>
      <c r="M92" s="719"/>
      <c r="N92" s="719"/>
      <c r="O92" s="719"/>
    </row>
    <row r="93" spans="1:16" ht="20.25" hidden="1" customHeight="1" x14ac:dyDescent="0.2">
      <c r="A93" s="9"/>
      <c r="B93" s="719"/>
      <c r="C93" s="719"/>
      <c r="D93" s="719"/>
      <c r="E93" s="719"/>
      <c r="F93" s="719"/>
      <c r="G93" s="719"/>
      <c r="H93" s="719"/>
      <c r="I93" s="719"/>
      <c r="J93" s="719"/>
      <c r="K93" s="719"/>
      <c r="L93" s="719"/>
      <c r="M93" s="719"/>
      <c r="N93" s="719"/>
      <c r="O93" s="719"/>
    </row>
    <row r="94" spans="1:16" ht="13.5" thickBot="1" x14ac:dyDescent="0.25">
      <c r="A94" s="716"/>
      <c r="B94" s="717"/>
      <c r="C94" s="717"/>
      <c r="D94" s="717"/>
      <c r="E94" s="717"/>
      <c r="F94" s="2124" t="s">
        <v>255</v>
      </c>
      <c r="G94" s="2124"/>
      <c r="H94" s="717"/>
      <c r="I94" s="717"/>
      <c r="J94" s="717"/>
      <c r="K94" s="717"/>
      <c r="L94" s="717"/>
      <c r="M94" s="717"/>
      <c r="N94" s="717"/>
      <c r="O94" s="718"/>
      <c r="P94" s="67"/>
    </row>
    <row r="95" spans="1:16" s="51" customFormat="1" ht="21.75" hidden="1" customHeight="1" x14ac:dyDescent="0.2">
      <c r="A95" s="87"/>
      <c r="B95" s="2125"/>
      <c r="C95" s="2126"/>
      <c r="D95" s="2126"/>
      <c r="E95" s="2126"/>
      <c r="F95" s="2126"/>
      <c r="G95" s="2126"/>
      <c r="H95" s="2126"/>
      <c r="I95" s="2126"/>
      <c r="J95" s="2126"/>
      <c r="K95" s="2126"/>
      <c r="L95" s="2126"/>
      <c r="M95" s="2126"/>
      <c r="N95" s="2126"/>
      <c r="O95" s="2127"/>
    </row>
    <row r="96" spans="1:16" s="51" customFormat="1" ht="21.75" customHeight="1" x14ac:dyDescent="0.2">
      <c r="A96" s="2111" t="s">
        <v>135</v>
      </c>
      <c r="B96" s="2128" t="s">
        <v>142</v>
      </c>
      <c r="C96" s="2114"/>
      <c r="D96" s="2115" t="s">
        <v>136</v>
      </c>
      <c r="E96" s="2115"/>
      <c r="F96" s="2116" t="s">
        <v>137</v>
      </c>
      <c r="G96" s="2114"/>
      <c r="H96" s="2117" t="s">
        <v>147</v>
      </c>
      <c r="I96" s="2118"/>
      <c r="J96" s="2119" t="s">
        <v>138</v>
      </c>
      <c r="K96" s="2120"/>
      <c r="L96" s="2120"/>
      <c r="M96" s="2120"/>
      <c r="N96" s="2121"/>
      <c r="O96" s="2129" t="s">
        <v>139</v>
      </c>
    </row>
    <row r="97" spans="1:16" s="51" customFormat="1" ht="13.5" thickBot="1" x14ac:dyDescent="0.25">
      <c r="A97" s="2112"/>
      <c r="B97" s="369" t="s">
        <v>140</v>
      </c>
      <c r="C97" s="23" t="s">
        <v>141</v>
      </c>
      <c r="D97" s="24" t="s">
        <v>140</v>
      </c>
      <c r="E97" s="24" t="s">
        <v>141</v>
      </c>
      <c r="F97" s="24" t="s">
        <v>140</v>
      </c>
      <c r="G97" s="25" t="s">
        <v>141</v>
      </c>
      <c r="H97" s="26" t="s">
        <v>140</v>
      </c>
      <c r="I97" s="27" t="s">
        <v>141</v>
      </c>
      <c r="J97" s="21" t="s">
        <v>142</v>
      </c>
      <c r="K97" s="21" t="s">
        <v>136</v>
      </c>
      <c r="L97" s="21" t="s">
        <v>143</v>
      </c>
      <c r="M97" s="21" t="s">
        <v>144</v>
      </c>
      <c r="N97" s="21" t="s">
        <v>145</v>
      </c>
      <c r="O97" s="2130"/>
    </row>
    <row r="98" spans="1:16" s="51" customFormat="1" ht="14.25" hidden="1" x14ac:dyDescent="0.2">
      <c r="A98" s="185" t="s">
        <v>436</v>
      </c>
      <c r="B98" s="188">
        <f>B16-B55</f>
        <v>0</v>
      </c>
      <c r="C98" s="165">
        <v>7</v>
      </c>
      <c r="D98" s="165">
        <f>D16-D55</f>
        <v>0</v>
      </c>
      <c r="E98" s="165">
        <v>7</v>
      </c>
      <c r="F98" s="166">
        <f>F16-F55</f>
        <v>0</v>
      </c>
      <c r="G98" s="165">
        <v>7</v>
      </c>
      <c r="H98" s="166">
        <f>H16-H55</f>
        <v>0</v>
      </c>
      <c r="I98" s="165">
        <v>1</v>
      </c>
      <c r="J98" s="165">
        <f t="shared" ref="J98:J102" si="146">B98*C98</f>
        <v>0</v>
      </c>
      <c r="K98" s="165">
        <f t="shared" ref="K98:K124" si="147">E98*D98</f>
        <v>0</v>
      </c>
      <c r="L98" s="165">
        <f t="shared" ref="L98:L124" si="148">G98*F98</f>
        <v>0</v>
      </c>
      <c r="M98" s="165">
        <f t="shared" ref="M98:M102" si="149">I98*H98</f>
        <v>0</v>
      </c>
      <c r="N98" s="165">
        <f t="shared" ref="N98:N126" si="150">L98+M98</f>
        <v>0</v>
      </c>
      <c r="O98" s="179">
        <f t="shared" ref="O98:O124" si="151">J98+K98+L98+M98</f>
        <v>0</v>
      </c>
      <c r="P98" s="111"/>
    </row>
    <row r="99" spans="1:16" s="51" customFormat="1" ht="28.5" x14ac:dyDescent="0.2">
      <c r="A99" s="185" t="s">
        <v>616</v>
      </c>
      <c r="B99" s="947"/>
      <c r="C99" s="165"/>
      <c r="D99" s="165">
        <f>D17-D56</f>
        <v>2126.6570000000002</v>
      </c>
      <c r="E99" s="165">
        <v>67</v>
      </c>
      <c r="F99" s="166">
        <f>F17-F56</f>
        <v>0</v>
      </c>
      <c r="G99" s="165">
        <v>67</v>
      </c>
      <c r="H99" s="166">
        <f>H17-H56</f>
        <v>0</v>
      </c>
      <c r="I99" s="165">
        <v>1</v>
      </c>
      <c r="J99" s="165">
        <f t="shared" si="146"/>
        <v>0</v>
      </c>
      <c r="K99" s="165">
        <f t="shared" si="147"/>
        <v>142486.019</v>
      </c>
      <c r="L99" s="165">
        <f t="shared" si="148"/>
        <v>0</v>
      </c>
      <c r="M99" s="165">
        <f t="shared" si="149"/>
        <v>0</v>
      </c>
      <c r="N99" s="165">
        <f t="shared" si="150"/>
        <v>0</v>
      </c>
      <c r="O99" s="179">
        <f t="shared" si="151"/>
        <v>142486.019</v>
      </c>
      <c r="P99" s="111"/>
    </row>
    <row r="100" spans="1:16" s="51" customFormat="1" ht="14.25" x14ac:dyDescent="0.2">
      <c r="A100" s="184" t="s">
        <v>814</v>
      </c>
      <c r="B100" s="946"/>
      <c r="C100" s="165"/>
      <c r="D100" s="165"/>
      <c r="E100" s="165">
        <v>70</v>
      </c>
      <c r="F100" s="166">
        <f>F18-F57</f>
        <v>3027.6654999999996</v>
      </c>
      <c r="G100" s="165">
        <v>70</v>
      </c>
      <c r="H100" s="166">
        <f>H18-H57</f>
        <v>4192.3654999999999</v>
      </c>
      <c r="I100" s="165">
        <v>1</v>
      </c>
      <c r="J100" s="165">
        <f t="shared" si="146"/>
        <v>0</v>
      </c>
      <c r="K100" s="165">
        <f t="shared" si="147"/>
        <v>0</v>
      </c>
      <c r="L100" s="165">
        <f t="shared" si="148"/>
        <v>211936.58499999996</v>
      </c>
      <c r="M100" s="165">
        <f t="shared" si="149"/>
        <v>4192.3654999999999</v>
      </c>
      <c r="N100" s="165">
        <f t="shared" si="150"/>
        <v>216128.95049999998</v>
      </c>
      <c r="O100" s="179">
        <f t="shared" si="151"/>
        <v>216128.95049999998</v>
      </c>
      <c r="P100" s="111"/>
    </row>
    <row r="101" spans="1:16" s="51" customFormat="1" ht="29.25" x14ac:dyDescent="0.2">
      <c r="A101" s="185" t="s">
        <v>618</v>
      </c>
      <c r="B101" s="1104"/>
      <c r="C101" s="165"/>
      <c r="D101" s="165"/>
      <c r="E101" s="165">
        <v>51</v>
      </c>
      <c r="F101" s="166"/>
      <c r="G101" s="165">
        <v>51</v>
      </c>
      <c r="H101" s="166">
        <f>H19-H58</f>
        <v>4897.0667999999996</v>
      </c>
      <c r="I101" s="165">
        <v>1</v>
      </c>
      <c r="J101" s="165">
        <f t="shared" si="146"/>
        <v>0</v>
      </c>
      <c r="K101" s="165">
        <f t="shared" si="147"/>
        <v>0</v>
      </c>
      <c r="L101" s="165">
        <f t="shared" si="148"/>
        <v>0</v>
      </c>
      <c r="M101" s="165">
        <f t="shared" si="149"/>
        <v>4897.0667999999996</v>
      </c>
      <c r="N101" s="165">
        <f t="shared" si="150"/>
        <v>4897.0667999999996</v>
      </c>
      <c r="O101" s="179">
        <f t="shared" si="151"/>
        <v>4897.0667999999996</v>
      </c>
      <c r="P101" s="111"/>
    </row>
    <row r="102" spans="1:16" s="51" customFormat="1" ht="14.25" hidden="1" x14ac:dyDescent="0.2">
      <c r="A102" s="185"/>
      <c r="B102" s="712"/>
      <c r="C102" s="944"/>
      <c r="D102" s="944">
        <f>D20-D59</f>
        <v>0</v>
      </c>
      <c r="E102" s="944">
        <v>18</v>
      </c>
      <c r="F102" s="945">
        <f>F20-F59</f>
        <v>0</v>
      </c>
      <c r="G102" s="944">
        <v>19</v>
      </c>
      <c r="H102" s="945">
        <f>H20-H59</f>
        <v>0</v>
      </c>
      <c r="I102" s="944">
        <v>1</v>
      </c>
      <c r="J102" s="944">
        <f t="shared" si="146"/>
        <v>0</v>
      </c>
      <c r="K102" s="944">
        <f t="shared" si="147"/>
        <v>0</v>
      </c>
      <c r="L102" s="944">
        <f t="shared" si="148"/>
        <v>0</v>
      </c>
      <c r="M102" s="944">
        <f t="shared" si="149"/>
        <v>0</v>
      </c>
      <c r="N102" s="944">
        <f t="shared" si="150"/>
        <v>0</v>
      </c>
      <c r="O102" s="1103">
        <f t="shared" si="151"/>
        <v>0</v>
      </c>
      <c r="P102" s="111"/>
    </row>
    <row r="103" spans="1:16" s="776" customFormat="1" ht="15" x14ac:dyDescent="0.2">
      <c r="A103" s="782" t="s">
        <v>457</v>
      </c>
      <c r="B103" s="783"/>
      <c r="C103" s="784"/>
      <c r="D103" s="784"/>
      <c r="E103" s="784"/>
      <c r="F103" s="784"/>
      <c r="G103" s="784"/>
      <c r="H103" s="784"/>
      <c r="I103" s="784"/>
      <c r="J103" s="784">
        <f>B103*C103</f>
        <v>0</v>
      </c>
      <c r="K103" s="784">
        <f t="shared" si="147"/>
        <v>0</v>
      </c>
      <c r="L103" s="784">
        <f t="shared" si="148"/>
        <v>0</v>
      </c>
      <c r="M103" s="784">
        <f>I103*H103</f>
        <v>0</v>
      </c>
      <c r="N103" s="784">
        <f t="shared" si="150"/>
        <v>0</v>
      </c>
      <c r="O103" s="785">
        <f t="shared" si="151"/>
        <v>0</v>
      </c>
      <c r="P103" s="775"/>
    </row>
    <row r="104" spans="1:16" s="776" customFormat="1" ht="14.25" hidden="1" x14ac:dyDescent="0.2">
      <c r="A104" s="777" t="s">
        <v>594</v>
      </c>
      <c r="B104" s="778"/>
      <c r="C104" s="779">
        <v>7</v>
      </c>
      <c r="D104" s="779"/>
      <c r="E104" s="779"/>
      <c r="F104" s="779"/>
      <c r="G104" s="779"/>
      <c r="H104" s="779"/>
      <c r="I104" s="779"/>
      <c r="J104" s="779">
        <f t="shared" ref="J104:J123" si="152">B104*C104</f>
        <v>0</v>
      </c>
      <c r="K104" s="779">
        <f t="shared" si="147"/>
        <v>0</v>
      </c>
      <c r="L104" s="779">
        <f t="shared" si="148"/>
        <v>0</v>
      </c>
      <c r="M104" s="779">
        <f t="shared" ref="M104:M123" si="153">I104*H104</f>
        <v>0</v>
      </c>
      <c r="N104" s="779">
        <f t="shared" si="150"/>
        <v>0</v>
      </c>
      <c r="O104" s="780">
        <f t="shared" si="151"/>
        <v>0</v>
      </c>
      <c r="P104" s="781"/>
    </row>
    <row r="105" spans="1:16" s="776" customFormat="1" ht="14.25" hidden="1" x14ac:dyDescent="0.2">
      <c r="A105" s="777" t="s">
        <v>459</v>
      </c>
      <c r="B105" s="778"/>
      <c r="C105" s="779">
        <v>11</v>
      </c>
      <c r="D105" s="779"/>
      <c r="E105" s="779"/>
      <c r="F105" s="779"/>
      <c r="G105" s="779"/>
      <c r="H105" s="779"/>
      <c r="I105" s="779"/>
      <c r="J105" s="779">
        <f t="shared" si="152"/>
        <v>0</v>
      </c>
      <c r="K105" s="779">
        <f t="shared" si="147"/>
        <v>0</v>
      </c>
      <c r="L105" s="779">
        <f t="shared" si="148"/>
        <v>0</v>
      </c>
      <c r="M105" s="779">
        <f t="shared" si="153"/>
        <v>0</v>
      </c>
      <c r="N105" s="779">
        <f t="shared" si="150"/>
        <v>0</v>
      </c>
      <c r="O105" s="780">
        <f t="shared" si="151"/>
        <v>0</v>
      </c>
      <c r="P105" s="781"/>
    </row>
    <row r="106" spans="1:16" s="776" customFormat="1" ht="14.25" hidden="1" x14ac:dyDescent="0.2">
      <c r="A106" s="777" t="s">
        <v>605</v>
      </c>
      <c r="B106" s="778"/>
      <c r="C106" s="779">
        <v>3</v>
      </c>
      <c r="D106" s="779"/>
      <c r="E106" s="779"/>
      <c r="F106" s="779"/>
      <c r="G106" s="779">
        <v>3</v>
      </c>
      <c r="H106" s="779"/>
      <c r="I106" s="779">
        <v>1</v>
      </c>
      <c r="J106" s="779">
        <f t="shared" si="152"/>
        <v>0</v>
      </c>
      <c r="K106" s="779">
        <f t="shared" si="147"/>
        <v>0</v>
      </c>
      <c r="L106" s="779">
        <f t="shared" si="148"/>
        <v>0</v>
      </c>
      <c r="M106" s="779">
        <f t="shared" si="153"/>
        <v>0</v>
      </c>
      <c r="N106" s="779">
        <f t="shared" si="150"/>
        <v>0</v>
      </c>
      <c r="O106" s="780">
        <f t="shared" si="151"/>
        <v>0</v>
      </c>
      <c r="P106" s="781"/>
    </row>
    <row r="107" spans="1:16" s="776" customFormat="1" ht="14.25" x14ac:dyDescent="0.2">
      <c r="A107" s="777" t="s">
        <v>593</v>
      </c>
      <c r="B107" s="778"/>
      <c r="C107" s="779"/>
      <c r="D107" s="779"/>
      <c r="E107" s="779"/>
      <c r="F107" s="779">
        <f>F25-F64</f>
        <v>480.64589999999959</v>
      </c>
      <c r="G107" s="779">
        <v>3</v>
      </c>
      <c r="H107" s="779">
        <f>H25-H64</f>
        <v>0</v>
      </c>
      <c r="I107" s="779">
        <v>1</v>
      </c>
      <c r="J107" s="779">
        <f t="shared" si="152"/>
        <v>0</v>
      </c>
      <c r="K107" s="779">
        <f t="shared" si="147"/>
        <v>0</v>
      </c>
      <c r="L107" s="779">
        <f t="shared" si="148"/>
        <v>1441.9376999999988</v>
      </c>
      <c r="M107" s="779">
        <f t="shared" si="153"/>
        <v>0</v>
      </c>
      <c r="N107" s="779">
        <f t="shared" si="150"/>
        <v>1441.9376999999988</v>
      </c>
      <c r="O107" s="780">
        <f t="shared" si="151"/>
        <v>1441.9376999999988</v>
      </c>
      <c r="P107" s="781"/>
    </row>
    <row r="108" spans="1:16" s="776" customFormat="1" ht="14.25" x14ac:dyDescent="0.2">
      <c r="A108" s="777" t="s">
        <v>617</v>
      </c>
      <c r="B108" s="778"/>
      <c r="C108" s="779"/>
      <c r="D108" s="779"/>
      <c r="E108" s="779"/>
      <c r="F108" s="779">
        <f>F26-F65</f>
        <v>904.91333400000121</v>
      </c>
      <c r="G108" s="779">
        <v>3</v>
      </c>
      <c r="H108" s="779">
        <f>H26-H65</f>
        <v>0</v>
      </c>
      <c r="I108" s="779">
        <v>1</v>
      </c>
      <c r="J108" s="779">
        <f t="shared" si="152"/>
        <v>0</v>
      </c>
      <c r="K108" s="779">
        <f t="shared" si="147"/>
        <v>0</v>
      </c>
      <c r="L108" s="779">
        <f t="shared" si="148"/>
        <v>2714.7400020000036</v>
      </c>
      <c r="M108" s="779">
        <f t="shared" si="153"/>
        <v>0</v>
      </c>
      <c r="N108" s="779">
        <f t="shared" si="150"/>
        <v>2714.7400020000036</v>
      </c>
      <c r="O108" s="780">
        <f t="shared" si="151"/>
        <v>2714.7400020000036</v>
      </c>
      <c r="P108" s="781"/>
    </row>
    <row r="109" spans="1:16" s="776" customFormat="1" ht="14.25" hidden="1" x14ac:dyDescent="0.2">
      <c r="A109" s="777" t="s">
        <v>462</v>
      </c>
      <c r="B109" s="778"/>
      <c r="C109" s="779"/>
      <c r="D109" s="779"/>
      <c r="E109" s="779">
        <v>3</v>
      </c>
      <c r="F109" s="779"/>
      <c r="G109" s="779"/>
      <c r="H109" s="779"/>
      <c r="I109" s="779"/>
      <c r="J109" s="779">
        <f t="shared" si="152"/>
        <v>0</v>
      </c>
      <c r="K109" s="779">
        <f t="shared" si="147"/>
        <v>0</v>
      </c>
      <c r="L109" s="779">
        <f t="shared" si="148"/>
        <v>0</v>
      </c>
      <c r="M109" s="779">
        <f t="shared" si="153"/>
        <v>0</v>
      </c>
      <c r="N109" s="779">
        <f t="shared" si="150"/>
        <v>0</v>
      </c>
      <c r="O109" s="780">
        <f t="shared" si="151"/>
        <v>0</v>
      </c>
      <c r="P109" s="781"/>
    </row>
    <row r="110" spans="1:16" s="776" customFormat="1" ht="14.25" hidden="1" x14ac:dyDescent="0.2">
      <c r="A110" s="777" t="s">
        <v>483</v>
      </c>
      <c r="B110" s="778"/>
      <c r="C110" s="779"/>
      <c r="D110" s="779"/>
      <c r="E110" s="779">
        <v>3</v>
      </c>
      <c r="F110" s="779"/>
      <c r="G110" s="779"/>
      <c r="H110" s="779"/>
      <c r="I110" s="779"/>
      <c r="J110" s="779">
        <f t="shared" si="152"/>
        <v>0</v>
      </c>
      <c r="K110" s="779">
        <f t="shared" si="147"/>
        <v>0</v>
      </c>
      <c r="L110" s="779">
        <f t="shared" si="148"/>
        <v>0</v>
      </c>
      <c r="M110" s="779">
        <f t="shared" si="153"/>
        <v>0</v>
      </c>
      <c r="N110" s="779">
        <f t="shared" si="150"/>
        <v>0</v>
      </c>
      <c r="O110" s="780">
        <f t="shared" si="151"/>
        <v>0</v>
      </c>
      <c r="P110" s="781"/>
    </row>
    <row r="111" spans="1:16" s="776" customFormat="1" ht="14.25" hidden="1" x14ac:dyDescent="0.2">
      <c r="A111" s="777" t="s">
        <v>592</v>
      </c>
      <c r="B111" s="778"/>
      <c r="C111" s="779"/>
      <c r="D111" s="779"/>
      <c r="E111" s="779">
        <v>3</v>
      </c>
      <c r="F111" s="779"/>
      <c r="G111" s="779"/>
      <c r="H111" s="779"/>
      <c r="I111" s="779"/>
      <c r="J111" s="779">
        <f t="shared" si="152"/>
        <v>0</v>
      </c>
      <c r="K111" s="779">
        <f t="shared" si="147"/>
        <v>0</v>
      </c>
      <c r="L111" s="779">
        <f t="shared" si="148"/>
        <v>0</v>
      </c>
      <c r="M111" s="779">
        <f t="shared" si="153"/>
        <v>0</v>
      </c>
      <c r="N111" s="779">
        <f t="shared" si="150"/>
        <v>0</v>
      </c>
      <c r="O111" s="780">
        <f t="shared" si="151"/>
        <v>0</v>
      </c>
      <c r="P111" s="781"/>
    </row>
    <row r="112" spans="1:16" s="956" customFormat="1" ht="18" customHeight="1" x14ac:dyDescent="0.2">
      <c r="A112" s="951" t="s">
        <v>507</v>
      </c>
      <c r="B112" s="952"/>
      <c r="C112" s="953"/>
      <c r="D112" s="953"/>
      <c r="E112" s="953"/>
      <c r="F112" s="953"/>
      <c r="G112" s="953"/>
      <c r="H112" s="953"/>
      <c r="I112" s="953"/>
      <c r="J112" s="953">
        <f t="shared" si="152"/>
        <v>0</v>
      </c>
      <c r="K112" s="953">
        <f t="shared" si="147"/>
        <v>0</v>
      </c>
      <c r="L112" s="953">
        <f t="shared" si="148"/>
        <v>0</v>
      </c>
      <c r="M112" s="953">
        <f t="shared" si="153"/>
        <v>0</v>
      </c>
      <c r="N112" s="953">
        <f t="shared" si="150"/>
        <v>0</v>
      </c>
      <c r="O112" s="954">
        <f t="shared" si="151"/>
        <v>0</v>
      </c>
      <c r="P112" s="955"/>
    </row>
    <row r="113" spans="1:17" s="956" customFormat="1" ht="14.25" hidden="1" x14ac:dyDescent="0.2">
      <c r="A113" s="950" t="s">
        <v>606</v>
      </c>
      <c r="B113" s="952">
        <f>B31-B70</f>
        <v>0</v>
      </c>
      <c r="C113" s="953">
        <v>1</v>
      </c>
      <c r="D113" s="953"/>
      <c r="E113" s="953"/>
      <c r="F113" s="953"/>
      <c r="G113" s="953"/>
      <c r="H113" s="953"/>
      <c r="I113" s="953"/>
      <c r="J113" s="953">
        <f t="shared" si="152"/>
        <v>0</v>
      </c>
      <c r="K113" s="953">
        <f t="shared" si="147"/>
        <v>0</v>
      </c>
      <c r="L113" s="953">
        <f t="shared" si="148"/>
        <v>0</v>
      </c>
      <c r="M113" s="953">
        <f t="shared" si="153"/>
        <v>0</v>
      </c>
      <c r="N113" s="953">
        <f t="shared" si="150"/>
        <v>0</v>
      </c>
      <c r="O113" s="954">
        <f t="shared" si="151"/>
        <v>0</v>
      </c>
      <c r="P113" s="955"/>
    </row>
    <row r="114" spans="1:17" s="956" customFormat="1" ht="14.25" hidden="1" x14ac:dyDescent="0.2">
      <c r="A114" s="950" t="s">
        <v>522</v>
      </c>
      <c r="B114" s="952"/>
      <c r="C114" s="953">
        <v>7</v>
      </c>
      <c r="D114" s="953"/>
      <c r="E114" s="953"/>
      <c r="F114" s="953"/>
      <c r="G114" s="953"/>
      <c r="H114" s="953"/>
      <c r="I114" s="953"/>
      <c r="J114" s="953">
        <f t="shared" si="152"/>
        <v>0</v>
      </c>
      <c r="K114" s="953">
        <f t="shared" si="147"/>
        <v>0</v>
      </c>
      <c r="L114" s="953">
        <f t="shared" si="148"/>
        <v>0</v>
      </c>
      <c r="M114" s="953">
        <f t="shared" si="153"/>
        <v>0</v>
      </c>
      <c r="N114" s="953">
        <f t="shared" si="150"/>
        <v>0</v>
      </c>
      <c r="O114" s="954">
        <f t="shared" si="151"/>
        <v>0</v>
      </c>
      <c r="P114" s="955"/>
    </row>
    <row r="115" spans="1:17" s="956" customFormat="1" ht="14.25" x14ac:dyDescent="0.2">
      <c r="A115" s="950" t="s">
        <v>463</v>
      </c>
      <c r="B115" s="952">
        <f>B33-B72</f>
        <v>1511.2</v>
      </c>
      <c r="C115" s="953">
        <v>1</v>
      </c>
      <c r="D115" s="953"/>
      <c r="E115" s="953"/>
      <c r="F115" s="953"/>
      <c r="G115" s="953"/>
      <c r="H115" s="953"/>
      <c r="I115" s="953"/>
      <c r="J115" s="953">
        <f t="shared" si="152"/>
        <v>1511.2</v>
      </c>
      <c r="K115" s="953">
        <f t="shared" si="147"/>
        <v>0</v>
      </c>
      <c r="L115" s="953">
        <f t="shared" si="148"/>
        <v>0</v>
      </c>
      <c r="M115" s="953">
        <f t="shared" si="153"/>
        <v>0</v>
      </c>
      <c r="N115" s="953">
        <f t="shared" si="150"/>
        <v>0</v>
      </c>
      <c r="O115" s="954">
        <f t="shared" si="151"/>
        <v>1511.2</v>
      </c>
      <c r="P115" s="955"/>
    </row>
    <row r="116" spans="1:17" s="956" customFormat="1" ht="14.25" hidden="1" x14ac:dyDescent="0.2">
      <c r="A116" s="950" t="s">
        <v>458</v>
      </c>
      <c r="B116" s="952"/>
      <c r="C116" s="953">
        <v>58</v>
      </c>
      <c r="D116" s="953"/>
      <c r="E116" s="953"/>
      <c r="F116" s="953"/>
      <c r="G116" s="953"/>
      <c r="H116" s="953"/>
      <c r="I116" s="953"/>
      <c r="J116" s="953">
        <f t="shared" si="152"/>
        <v>0</v>
      </c>
      <c r="K116" s="953">
        <f t="shared" si="147"/>
        <v>0</v>
      </c>
      <c r="L116" s="953">
        <f t="shared" si="148"/>
        <v>0</v>
      </c>
      <c r="M116" s="953">
        <f t="shared" si="153"/>
        <v>0</v>
      </c>
      <c r="N116" s="953">
        <f t="shared" si="150"/>
        <v>0</v>
      </c>
      <c r="O116" s="954">
        <f t="shared" si="151"/>
        <v>0</v>
      </c>
      <c r="P116" s="955"/>
    </row>
    <row r="117" spans="1:17" s="956" customFormat="1" ht="14.25" x14ac:dyDescent="0.2">
      <c r="A117" s="950" t="s">
        <v>459</v>
      </c>
      <c r="B117" s="952">
        <f>B35-B74</f>
        <v>2313.8560000000002</v>
      </c>
      <c r="C117" s="953">
        <v>14</v>
      </c>
      <c r="D117" s="953"/>
      <c r="E117" s="953"/>
      <c r="F117" s="953"/>
      <c r="G117" s="953"/>
      <c r="H117" s="953"/>
      <c r="I117" s="953"/>
      <c r="J117" s="953">
        <f t="shared" si="152"/>
        <v>32393.984000000004</v>
      </c>
      <c r="K117" s="953">
        <f t="shared" si="147"/>
        <v>0</v>
      </c>
      <c r="L117" s="953">
        <f t="shared" si="148"/>
        <v>0</v>
      </c>
      <c r="M117" s="953">
        <f t="shared" si="153"/>
        <v>0</v>
      </c>
      <c r="N117" s="953">
        <f t="shared" si="150"/>
        <v>0</v>
      </c>
      <c r="O117" s="954">
        <f t="shared" si="151"/>
        <v>32393.984000000004</v>
      </c>
      <c r="P117" s="955"/>
    </row>
    <row r="118" spans="1:17" s="956" customFormat="1" ht="14.25" x14ac:dyDescent="0.2">
      <c r="A118" s="950" t="s">
        <v>855</v>
      </c>
      <c r="B118" s="952">
        <f>B36-B75</f>
        <v>233.41442599999999</v>
      </c>
      <c r="C118" s="953">
        <v>62</v>
      </c>
      <c r="D118" s="953"/>
      <c r="E118" s="953"/>
      <c r="F118" s="953"/>
      <c r="G118" s="953"/>
      <c r="H118" s="953"/>
      <c r="I118" s="953"/>
      <c r="J118" s="953">
        <f t="shared" si="152"/>
        <v>14471.694411999999</v>
      </c>
      <c r="K118" s="953">
        <f t="shared" si="147"/>
        <v>0</v>
      </c>
      <c r="L118" s="953">
        <f t="shared" si="148"/>
        <v>0</v>
      </c>
      <c r="M118" s="953">
        <f t="shared" si="153"/>
        <v>0</v>
      </c>
      <c r="N118" s="953">
        <f t="shared" si="150"/>
        <v>0</v>
      </c>
      <c r="O118" s="954">
        <f t="shared" si="151"/>
        <v>14471.694411999999</v>
      </c>
      <c r="P118" s="955"/>
    </row>
    <row r="119" spans="1:17" s="956" customFormat="1" ht="14.25" x14ac:dyDescent="0.2">
      <c r="A119" s="950" t="s">
        <v>461</v>
      </c>
      <c r="B119" s="952"/>
      <c r="C119" s="953"/>
      <c r="D119" s="953"/>
      <c r="E119" s="953"/>
      <c r="F119" s="953">
        <f>F37-F76</f>
        <v>385.99200000000008</v>
      </c>
      <c r="G119" s="953">
        <v>6</v>
      </c>
      <c r="H119" s="953"/>
      <c r="I119" s="953"/>
      <c r="J119" s="953">
        <f t="shared" si="152"/>
        <v>0</v>
      </c>
      <c r="K119" s="953">
        <f t="shared" si="147"/>
        <v>0</v>
      </c>
      <c r="L119" s="953">
        <f t="shared" si="148"/>
        <v>2315.9520000000002</v>
      </c>
      <c r="M119" s="953">
        <f t="shared" si="153"/>
        <v>0</v>
      </c>
      <c r="N119" s="953">
        <f t="shared" si="150"/>
        <v>2315.9520000000002</v>
      </c>
      <c r="O119" s="954">
        <f t="shared" si="151"/>
        <v>2315.9520000000002</v>
      </c>
      <c r="P119" s="955"/>
      <c r="Q119" s="1107"/>
    </row>
    <row r="120" spans="1:17" s="956" customFormat="1" ht="14.25" x14ac:dyDescent="0.2">
      <c r="A120" s="950" t="s">
        <v>460</v>
      </c>
      <c r="B120" s="952"/>
      <c r="C120" s="953"/>
      <c r="D120" s="953"/>
      <c r="E120" s="953"/>
      <c r="F120" s="953">
        <f>F38-F77</f>
        <v>4666.9695310000006</v>
      </c>
      <c r="G120" s="953">
        <v>6</v>
      </c>
      <c r="H120" s="953">
        <f>H38-H77</f>
        <v>0</v>
      </c>
      <c r="I120" s="953">
        <v>1</v>
      </c>
      <c r="J120" s="953">
        <f t="shared" si="152"/>
        <v>0</v>
      </c>
      <c r="K120" s="953">
        <f t="shared" si="147"/>
        <v>0</v>
      </c>
      <c r="L120" s="953">
        <f t="shared" si="148"/>
        <v>28001.817186000004</v>
      </c>
      <c r="M120" s="953">
        <f t="shared" si="153"/>
        <v>0</v>
      </c>
      <c r="N120" s="953">
        <f t="shared" si="150"/>
        <v>28001.817186000004</v>
      </c>
      <c r="O120" s="954">
        <f t="shared" si="151"/>
        <v>28001.817186000004</v>
      </c>
      <c r="P120" s="955"/>
    </row>
    <row r="121" spans="1:17" s="956" customFormat="1" ht="14.25" x14ac:dyDescent="0.2">
      <c r="A121" s="950" t="s">
        <v>462</v>
      </c>
      <c r="B121" s="952"/>
      <c r="C121" s="953"/>
      <c r="D121" s="953">
        <f>D39-D78</f>
        <v>2663.5852</v>
      </c>
      <c r="E121" s="953">
        <v>6</v>
      </c>
      <c r="F121" s="953"/>
      <c r="G121" s="953"/>
      <c r="H121" s="953"/>
      <c r="I121" s="953"/>
      <c r="J121" s="953">
        <f t="shared" si="152"/>
        <v>0</v>
      </c>
      <c r="K121" s="953">
        <f t="shared" si="147"/>
        <v>15981.511200000001</v>
      </c>
      <c r="L121" s="953">
        <f t="shared" si="148"/>
        <v>0</v>
      </c>
      <c r="M121" s="953">
        <f t="shared" si="153"/>
        <v>0</v>
      </c>
      <c r="N121" s="953">
        <f t="shared" si="150"/>
        <v>0</v>
      </c>
      <c r="O121" s="954">
        <f t="shared" si="151"/>
        <v>15981.511200000001</v>
      </c>
      <c r="P121" s="955"/>
    </row>
    <row r="122" spans="1:17" s="956" customFormat="1" ht="14.25" x14ac:dyDescent="0.2">
      <c r="A122" s="950" t="s">
        <v>483</v>
      </c>
      <c r="B122" s="952"/>
      <c r="C122" s="953"/>
      <c r="D122" s="953">
        <f>D40-D79</f>
        <v>2028.53079</v>
      </c>
      <c r="E122" s="953">
        <v>6</v>
      </c>
      <c r="F122" s="953"/>
      <c r="G122" s="953"/>
      <c r="H122" s="953"/>
      <c r="I122" s="953"/>
      <c r="J122" s="953">
        <f t="shared" si="152"/>
        <v>0</v>
      </c>
      <c r="K122" s="953">
        <f t="shared" si="147"/>
        <v>12171.184740000001</v>
      </c>
      <c r="L122" s="953">
        <f t="shared" si="148"/>
        <v>0</v>
      </c>
      <c r="M122" s="953">
        <f t="shared" si="153"/>
        <v>0</v>
      </c>
      <c r="N122" s="953">
        <f t="shared" si="150"/>
        <v>0</v>
      </c>
      <c r="O122" s="954">
        <f t="shared" si="151"/>
        <v>12171.184740000001</v>
      </c>
      <c r="P122" s="955"/>
    </row>
    <row r="123" spans="1:17" s="1774" customFormat="1" ht="14.25" hidden="1" x14ac:dyDescent="0.2">
      <c r="A123" s="1775" t="s">
        <v>592</v>
      </c>
      <c r="B123" s="1770"/>
      <c r="C123" s="1771"/>
      <c r="D123" s="1771"/>
      <c r="E123" s="1771">
        <v>6</v>
      </c>
      <c r="F123" s="1771"/>
      <c r="G123" s="1771"/>
      <c r="H123" s="1771"/>
      <c r="I123" s="1771"/>
      <c r="J123" s="1771">
        <f t="shared" si="152"/>
        <v>0</v>
      </c>
      <c r="K123" s="1771">
        <f t="shared" si="147"/>
        <v>0</v>
      </c>
      <c r="L123" s="1771">
        <f t="shared" si="148"/>
        <v>0</v>
      </c>
      <c r="M123" s="1771">
        <f t="shared" si="153"/>
        <v>0</v>
      </c>
      <c r="N123" s="1771">
        <f t="shared" si="150"/>
        <v>0</v>
      </c>
      <c r="O123" s="1772">
        <f t="shared" si="151"/>
        <v>0</v>
      </c>
      <c r="P123" s="1773"/>
    </row>
    <row r="124" spans="1:17" s="71" customFormat="1" ht="14.25" hidden="1" x14ac:dyDescent="0.2">
      <c r="A124" s="949" t="s">
        <v>410</v>
      </c>
      <c r="B124" s="386"/>
      <c r="C124" s="387"/>
      <c r="D124" s="387"/>
      <c r="E124" s="387">
        <v>73</v>
      </c>
      <c r="F124" s="387"/>
      <c r="G124" s="387">
        <v>76</v>
      </c>
      <c r="H124" s="387"/>
      <c r="I124" s="387">
        <v>1</v>
      </c>
      <c r="J124" s="387">
        <f>B124*C124</f>
        <v>0</v>
      </c>
      <c r="K124" s="387">
        <f t="shared" si="147"/>
        <v>0</v>
      </c>
      <c r="L124" s="387">
        <f t="shared" si="148"/>
        <v>0</v>
      </c>
      <c r="M124" s="387">
        <f>I124*H124</f>
        <v>0</v>
      </c>
      <c r="N124" s="387">
        <f t="shared" si="150"/>
        <v>0</v>
      </c>
      <c r="O124" s="475">
        <f t="shared" si="151"/>
        <v>0</v>
      </c>
      <c r="P124" s="948"/>
    </row>
    <row r="125" spans="1:17" s="71" customFormat="1" ht="16.5" hidden="1" customHeight="1" x14ac:dyDescent="0.2">
      <c r="A125" s="1776" t="s">
        <v>590</v>
      </c>
      <c r="B125" s="386"/>
      <c r="C125" s="387"/>
      <c r="D125" s="387"/>
      <c r="E125" s="387">
        <v>22</v>
      </c>
      <c r="F125" s="387"/>
      <c r="G125" s="387">
        <v>21</v>
      </c>
      <c r="H125" s="387"/>
      <c r="I125" s="387">
        <v>1</v>
      </c>
      <c r="J125" s="387">
        <f t="shared" ref="J125:J126" si="154">C125*B125</f>
        <v>0</v>
      </c>
      <c r="K125" s="387">
        <f t="shared" ref="K125:K126" si="155">D125*E125</f>
        <v>0</v>
      </c>
      <c r="L125" s="387">
        <f t="shared" ref="L125:L126" si="156">F125*G125</f>
        <v>0</v>
      </c>
      <c r="M125" s="387">
        <f t="shared" ref="M125:M126" si="157">H125*I125</f>
        <v>0</v>
      </c>
      <c r="N125" s="387">
        <f t="shared" si="150"/>
        <v>0</v>
      </c>
      <c r="O125" s="475">
        <f t="shared" ref="O125:O126" si="158">J125+K125+N125</f>
        <v>0</v>
      </c>
    </row>
    <row r="126" spans="1:17" s="71" customFormat="1" ht="14.25" hidden="1" x14ac:dyDescent="0.2">
      <c r="A126" s="1776" t="s">
        <v>591</v>
      </c>
      <c r="B126" s="386"/>
      <c r="C126" s="387"/>
      <c r="D126" s="387"/>
      <c r="E126" s="387">
        <v>22</v>
      </c>
      <c r="F126" s="387"/>
      <c r="G126" s="387">
        <v>21</v>
      </c>
      <c r="H126" s="387"/>
      <c r="I126" s="387">
        <v>1</v>
      </c>
      <c r="J126" s="387">
        <f t="shared" si="154"/>
        <v>0</v>
      </c>
      <c r="K126" s="387">
        <f t="shared" si="155"/>
        <v>0</v>
      </c>
      <c r="L126" s="387">
        <f t="shared" si="156"/>
        <v>0</v>
      </c>
      <c r="M126" s="387">
        <f t="shared" si="157"/>
        <v>0</v>
      </c>
      <c r="N126" s="387">
        <f t="shared" si="150"/>
        <v>0</v>
      </c>
      <c r="O126" s="475">
        <f t="shared" si="158"/>
        <v>0</v>
      </c>
    </row>
    <row r="127" spans="1:17" s="1112" customFormat="1" ht="8.25" x14ac:dyDescent="0.15">
      <c r="A127" s="1108"/>
      <c r="B127" s="1109"/>
      <c r="C127" s="1110"/>
      <c r="D127" s="1110"/>
      <c r="E127" s="1110"/>
      <c r="F127" s="1110"/>
      <c r="G127" s="1110"/>
      <c r="H127" s="1110"/>
      <c r="I127" s="1110"/>
      <c r="J127" s="1110"/>
      <c r="K127" s="1110"/>
      <c r="L127" s="1110"/>
      <c r="M127" s="1110"/>
      <c r="N127" s="1110"/>
      <c r="O127" s="1111"/>
    </row>
    <row r="128" spans="1:17" s="51" customFormat="1" ht="15" x14ac:dyDescent="0.2">
      <c r="A128" s="191" t="s">
        <v>445</v>
      </c>
      <c r="B128" s="187">
        <f>B46-B85</f>
        <v>0</v>
      </c>
      <c r="C128" s="165">
        <v>25</v>
      </c>
      <c r="D128" s="165">
        <f>D46-D85</f>
        <v>223</v>
      </c>
      <c r="E128" s="165">
        <v>35</v>
      </c>
      <c r="F128" s="165">
        <f>F46-F85</f>
        <v>552.98591549295782</v>
      </c>
      <c r="G128" s="165">
        <v>35</v>
      </c>
      <c r="H128" s="165">
        <f>H46-H85</f>
        <v>0</v>
      </c>
      <c r="I128" s="165">
        <v>1</v>
      </c>
      <c r="J128" s="165">
        <f t="shared" ref="J128:J130" si="159">B128*C128</f>
        <v>0</v>
      </c>
      <c r="K128" s="165">
        <f t="shared" ref="K128:K130" si="160">D128*E128</f>
        <v>7805</v>
      </c>
      <c r="L128" s="165">
        <f>F128*G128</f>
        <v>19354.507042253525</v>
      </c>
      <c r="M128" s="165">
        <f>H128*I128</f>
        <v>0</v>
      </c>
      <c r="N128" s="165">
        <f>L128+M128</f>
        <v>19354.507042253525</v>
      </c>
      <c r="O128" s="179">
        <f>J128+K128+L128+M128</f>
        <v>27159.507042253525</v>
      </c>
    </row>
    <row r="129" spans="1:15" s="51" customFormat="1" ht="20.25" hidden="1" customHeight="1" x14ac:dyDescent="0.2">
      <c r="A129" s="713" t="s">
        <v>250</v>
      </c>
      <c r="B129" s="187"/>
      <c r="C129" s="165"/>
      <c r="D129" s="165"/>
      <c r="E129" s="165"/>
      <c r="F129" s="165"/>
      <c r="G129" s="165"/>
      <c r="H129" s="165">
        <f>H47-H86</f>
        <v>0</v>
      </c>
      <c r="I129" s="165">
        <v>1</v>
      </c>
      <c r="J129" s="165">
        <f t="shared" si="159"/>
        <v>0</v>
      </c>
      <c r="K129" s="165">
        <f t="shared" si="160"/>
        <v>0</v>
      </c>
      <c r="L129" s="165">
        <f t="shared" ref="L129:L130" si="161">F129*G129</f>
        <v>0</v>
      </c>
      <c r="M129" s="165">
        <f t="shared" ref="M129:M130" si="162">H129*I129</f>
        <v>0</v>
      </c>
      <c r="N129" s="165">
        <f t="shared" ref="N129:N130" si="163">L129+M129</f>
        <v>0</v>
      </c>
      <c r="O129" s="179">
        <f>J129+K129+N129</f>
        <v>0</v>
      </c>
    </row>
    <row r="130" spans="1:15" s="51" customFormat="1" ht="13.5" thickBot="1" x14ac:dyDescent="0.25">
      <c r="A130" s="186" t="s">
        <v>148</v>
      </c>
      <c r="B130" s="189">
        <f>B48-B87</f>
        <v>0</v>
      </c>
      <c r="C130" s="167">
        <v>0</v>
      </c>
      <c r="D130" s="167"/>
      <c r="E130" s="167"/>
      <c r="F130" s="167"/>
      <c r="G130" s="167"/>
      <c r="H130" s="165">
        <f>H48-H87</f>
        <v>4195.4071815936495</v>
      </c>
      <c r="I130" s="167">
        <v>3</v>
      </c>
      <c r="J130" s="167">
        <f t="shared" si="159"/>
        <v>0</v>
      </c>
      <c r="K130" s="167">
        <f t="shared" si="160"/>
        <v>0</v>
      </c>
      <c r="L130" s="167">
        <f t="shared" si="161"/>
        <v>0</v>
      </c>
      <c r="M130" s="167">
        <f t="shared" si="162"/>
        <v>12586.221544780949</v>
      </c>
      <c r="N130" s="167">
        <f t="shared" si="163"/>
        <v>12586.221544780949</v>
      </c>
      <c r="O130" s="180">
        <f>J130+K130+N130</f>
        <v>12586.221544780949</v>
      </c>
    </row>
    <row r="131" spans="1:15" s="196" customFormat="1" ht="16.5" thickBot="1" x14ac:dyDescent="0.25">
      <c r="A131" s="192" t="s">
        <v>256</v>
      </c>
      <c r="B131" s="193">
        <f>SUM(B96:B130)</f>
        <v>4058.4704260000003</v>
      </c>
      <c r="C131" s="194"/>
      <c r="D131" s="194">
        <f>SUM(D96:D130)</f>
        <v>7041.7729900000004</v>
      </c>
      <c r="E131" s="194"/>
      <c r="F131" s="194">
        <f>SUM(F96:F130)</f>
        <v>10019.172180492958</v>
      </c>
      <c r="G131" s="194"/>
      <c r="H131" s="194">
        <f>SUM(H96:H130)</f>
        <v>13284.83948159365</v>
      </c>
      <c r="I131" s="194"/>
      <c r="J131" s="194">
        <f>SUM(J96:J130)</f>
        <v>48376.878411999998</v>
      </c>
      <c r="K131" s="194">
        <f>SUM(K96:K130)</f>
        <v>178443.71494000001</v>
      </c>
      <c r="L131" s="194">
        <f>SUM(L96:L130)</f>
        <v>265765.53893025347</v>
      </c>
      <c r="M131" s="194">
        <f>SUM(M96:M130)</f>
        <v>21675.653844780951</v>
      </c>
      <c r="N131" s="194">
        <f>SUM(N96:N130)</f>
        <v>287441.19277503446</v>
      </c>
      <c r="O131" s="195">
        <f>SUM(O98:O130)</f>
        <v>514261.78612703446</v>
      </c>
    </row>
    <row r="133" spans="1:15" x14ac:dyDescent="0.2">
      <c r="A133" s="20" t="s">
        <v>268</v>
      </c>
      <c r="B133" s="2108" t="s">
        <v>269</v>
      </c>
      <c r="C133" s="2108"/>
      <c r="D133" s="2108"/>
    </row>
    <row r="134" spans="1:15" x14ac:dyDescent="0.2">
      <c r="A134" s="112"/>
      <c r="D134" s="82"/>
      <c r="O134" s="82"/>
    </row>
    <row r="135" spans="1:15" x14ac:dyDescent="0.2">
      <c r="A135" s="68"/>
      <c r="O135" s="82">
        <f>O131+O88</f>
        <v>541633.74388170533</v>
      </c>
    </row>
    <row r="137" spans="1:15" x14ac:dyDescent="0.2">
      <c r="O137" s="82">
        <f>O49</f>
        <v>541633.74388170545</v>
      </c>
    </row>
    <row r="139" spans="1:15" x14ac:dyDescent="0.2">
      <c r="O139" s="20">
        <v>0</v>
      </c>
    </row>
    <row r="140" spans="1:15" x14ac:dyDescent="0.2">
      <c r="O140" s="82">
        <f>O135-O137</f>
        <v>0</v>
      </c>
    </row>
  </sheetData>
  <mergeCells count="29">
    <mergeCell ref="H96:I96"/>
    <mergeCell ref="J96:N96"/>
    <mergeCell ref="O96:O97"/>
    <mergeCell ref="L1:O1"/>
    <mergeCell ref="A2:O2"/>
    <mergeCell ref="A3:A5"/>
    <mergeCell ref="B3:O3"/>
    <mergeCell ref="B4:C4"/>
    <mergeCell ref="D4:E4"/>
    <mergeCell ref="F4:G4"/>
    <mergeCell ref="H4:I4"/>
    <mergeCell ref="J4:N4"/>
    <mergeCell ref="O4:O5"/>
    <mergeCell ref="B133:D133"/>
    <mergeCell ref="A51:O51"/>
    <mergeCell ref="A52:O52"/>
    <mergeCell ref="A53:A54"/>
    <mergeCell ref="B53:C53"/>
    <mergeCell ref="D53:E53"/>
    <mergeCell ref="F53:G53"/>
    <mergeCell ref="H53:I53"/>
    <mergeCell ref="J53:N53"/>
    <mergeCell ref="O53:O54"/>
    <mergeCell ref="A96:A97"/>
    <mergeCell ref="F94:G94"/>
    <mergeCell ref="B95:O95"/>
    <mergeCell ref="B96:C96"/>
    <mergeCell ref="D96:E96"/>
    <mergeCell ref="F96:G96"/>
  </mergeCells>
  <pageMargins left="0.19685039370078741" right="0.19685039370078741" top="0.39370078740157483" bottom="0.31496062992125984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3"/>
  <sheetViews>
    <sheetView workbookViewId="0">
      <selection activeCell="F14" sqref="F14"/>
    </sheetView>
  </sheetViews>
  <sheetFormatPr defaultRowHeight="12.75" x14ac:dyDescent="0.2"/>
  <cols>
    <col min="1" max="1" width="17.7109375" style="65" customWidth="1"/>
    <col min="2" max="2" width="9.140625" style="65"/>
    <col min="3" max="3" width="10.28515625" style="65" customWidth="1"/>
    <col min="4" max="5" width="9.140625" style="65"/>
    <col min="6" max="6" width="12.5703125" style="65" customWidth="1"/>
  </cols>
  <sheetData>
    <row r="10" spans="1:6" ht="25.5" customHeight="1" x14ac:dyDescent="0.2">
      <c r="A10" s="2148" t="s">
        <v>263</v>
      </c>
      <c r="B10" s="2148" t="s">
        <v>260</v>
      </c>
      <c r="C10" s="2149" t="s">
        <v>261</v>
      </c>
      <c r="D10" s="2148" t="s">
        <v>262</v>
      </c>
      <c r="E10" s="2150"/>
      <c r="F10" s="2151" t="s">
        <v>266</v>
      </c>
    </row>
    <row r="11" spans="1:6" x14ac:dyDescent="0.2">
      <c r="A11" s="2148"/>
      <c r="B11" s="2148"/>
      <c r="C11" s="2149"/>
      <c r="D11" s="209" t="s">
        <v>264</v>
      </c>
      <c r="E11" s="209" t="s">
        <v>265</v>
      </c>
      <c r="F11" s="2152"/>
    </row>
    <row r="12" spans="1:6" x14ac:dyDescent="0.2">
      <c r="A12" s="210"/>
      <c r="B12" s="210"/>
      <c r="C12" s="210"/>
      <c r="D12" s="210"/>
      <c r="E12" s="210"/>
      <c r="F12" s="210"/>
    </row>
    <row r="13" spans="1:6" x14ac:dyDescent="0.2">
      <c r="A13" s="211">
        <f>220000/1.0138-950</f>
        <v>216055.32649437757</v>
      </c>
      <c r="B13" s="210">
        <v>1100</v>
      </c>
      <c r="C13" s="209">
        <f>1100*4.5</f>
        <v>4950</v>
      </c>
      <c r="D13" s="210">
        <f>C13*501.144/3990</f>
        <v>621.71999999999991</v>
      </c>
      <c r="E13" s="210">
        <f>C13/1000*100.4+C13/1000*2*25.2</f>
        <v>746.46</v>
      </c>
      <c r="F13" s="212">
        <f>134461.19*C13/3990/5*6*1.0218</f>
        <v>204539.12707154892</v>
      </c>
    </row>
  </sheetData>
  <mergeCells count="5">
    <mergeCell ref="B10:B11"/>
    <mergeCell ref="C10:C11"/>
    <mergeCell ref="D10:E10"/>
    <mergeCell ref="A10:A11"/>
    <mergeCell ref="F10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9"/>
  <sheetViews>
    <sheetView view="pageBreakPreview" zoomScaleSheetLayoutView="100" workbookViewId="0">
      <selection activeCell="C58" sqref="C58"/>
    </sheetView>
  </sheetViews>
  <sheetFormatPr defaultRowHeight="12.75" x14ac:dyDescent="0.2"/>
  <cols>
    <col min="1" max="1" width="12.42578125" style="477" customWidth="1"/>
    <col min="2" max="2" width="55.85546875" style="477" customWidth="1"/>
    <col min="3" max="3" width="10.42578125" style="477" customWidth="1"/>
    <col min="4" max="4" width="13.7109375" style="477" customWidth="1"/>
    <col min="5" max="5" width="18.7109375" style="477" customWidth="1"/>
    <col min="6" max="6" width="9" style="477" customWidth="1"/>
    <col min="7" max="7" width="11.5703125" style="477" customWidth="1"/>
    <col min="8" max="8" width="12.7109375" style="477" customWidth="1"/>
    <col min="9" max="9" width="14.140625" style="477" customWidth="1"/>
    <col min="10" max="10" width="25.85546875" style="479" customWidth="1"/>
    <col min="11" max="11" width="5.7109375" style="477" customWidth="1"/>
    <col min="12" max="256" width="9.140625" style="477"/>
    <col min="257" max="257" width="12.42578125" style="477" customWidth="1"/>
    <col min="258" max="258" width="46.42578125" style="477" customWidth="1"/>
    <col min="259" max="259" width="10.42578125" style="477" customWidth="1"/>
    <col min="260" max="260" width="13.7109375" style="477" customWidth="1"/>
    <col min="261" max="261" width="18.7109375" style="477" customWidth="1"/>
    <col min="262" max="262" width="9" style="477" customWidth="1"/>
    <col min="263" max="263" width="11.5703125" style="477" customWidth="1"/>
    <col min="264" max="264" width="12.7109375" style="477" customWidth="1"/>
    <col min="265" max="265" width="14.140625" style="477" customWidth="1"/>
    <col min="266" max="266" width="19" style="477" customWidth="1"/>
    <col min="267" max="512" width="9.140625" style="477"/>
    <col min="513" max="513" width="12.42578125" style="477" customWidth="1"/>
    <col min="514" max="514" width="46.42578125" style="477" customWidth="1"/>
    <col min="515" max="515" width="10.42578125" style="477" customWidth="1"/>
    <col min="516" max="516" width="13.7109375" style="477" customWidth="1"/>
    <col min="517" max="517" width="18.7109375" style="477" customWidth="1"/>
    <col min="518" max="518" width="9" style="477" customWidth="1"/>
    <col min="519" max="519" width="11.5703125" style="477" customWidth="1"/>
    <col min="520" max="520" width="12.7109375" style="477" customWidth="1"/>
    <col min="521" max="521" width="14.140625" style="477" customWidth="1"/>
    <col min="522" max="522" width="19" style="477" customWidth="1"/>
    <col min="523" max="768" width="9.140625" style="477"/>
    <col min="769" max="769" width="12.42578125" style="477" customWidth="1"/>
    <col min="770" max="770" width="46.42578125" style="477" customWidth="1"/>
    <col min="771" max="771" width="10.42578125" style="477" customWidth="1"/>
    <col min="772" max="772" width="13.7109375" style="477" customWidth="1"/>
    <col min="773" max="773" width="18.7109375" style="477" customWidth="1"/>
    <col min="774" max="774" width="9" style="477" customWidth="1"/>
    <col min="775" max="775" width="11.5703125" style="477" customWidth="1"/>
    <col min="776" max="776" width="12.7109375" style="477" customWidth="1"/>
    <col min="777" max="777" width="14.140625" style="477" customWidth="1"/>
    <col min="778" max="778" width="19" style="477" customWidth="1"/>
    <col min="779" max="1024" width="9.140625" style="477"/>
    <col min="1025" max="1025" width="12.42578125" style="477" customWidth="1"/>
    <col min="1026" max="1026" width="46.42578125" style="477" customWidth="1"/>
    <col min="1027" max="1027" width="10.42578125" style="477" customWidth="1"/>
    <col min="1028" max="1028" width="13.7109375" style="477" customWidth="1"/>
    <col min="1029" max="1029" width="18.7109375" style="477" customWidth="1"/>
    <col min="1030" max="1030" width="9" style="477" customWidth="1"/>
    <col min="1031" max="1031" width="11.5703125" style="477" customWidth="1"/>
    <col min="1032" max="1032" width="12.7109375" style="477" customWidth="1"/>
    <col min="1033" max="1033" width="14.140625" style="477" customWidth="1"/>
    <col min="1034" max="1034" width="19" style="477" customWidth="1"/>
    <col min="1035" max="1280" width="9.140625" style="477"/>
    <col min="1281" max="1281" width="12.42578125" style="477" customWidth="1"/>
    <col min="1282" max="1282" width="46.42578125" style="477" customWidth="1"/>
    <col min="1283" max="1283" width="10.42578125" style="477" customWidth="1"/>
    <col min="1284" max="1284" width="13.7109375" style="477" customWidth="1"/>
    <col min="1285" max="1285" width="18.7109375" style="477" customWidth="1"/>
    <col min="1286" max="1286" width="9" style="477" customWidth="1"/>
    <col min="1287" max="1287" width="11.5703125" style="477" customWidth="1"/>
    <col min="1288" max="1288" width="12.7109375" style="477" customWidth="1"/>
    <col min="1289" max="1289" width="14.140625" style="477" customWidth="1"/>
    <col min="1290" max="1290" width="19" style="477" customWidth="1"/>
    <col min="1291" max="1536" width="9.140625" style="477"/>
    <col min="1537" max="1537" width="12.42578125" style="477" customWidth="1"/>
    <col min="1538" max="1538" width="46.42578125" style="477" customWidth="1"/>
    <col min="1539" max="1539" width="10.42578125" style="477" customWidth="1"/>
    <col min="1540" max="1540" width="13.7109375" style="477" customWidth="1"/>
    <col min="1541" max="1541" width="18.7109375" style="477" customWidth="1"/>
    <col min="1542" max="1542" width="9" style="477" customWidth="1"/>
    <col min="1543" max="1543" width="11.5703125" style="477" customWidth="1"/>
    <col min="1544" max="1544" width="12.7109375" style="477" customWidth="1"/>
    <col min="1545" max="1545" width="14.140625" style="477" customWidth="1"/>
    <col min="1546" max="1546" width="19" style="477" customWidth="1"/>
    <col min="1547" max="1792" width="9.140625" style="477"/>
    <col min="1793" max="1793" width="12.42578125" style="477" customWidth="1"/>
    <col min="1794" max="1794" width="46.42578125" style="477" customWidth="1"/>
    <col min="1795" max="1795" width="10.42578125" style="477" customWidth="1"/>
    <col min="1796" max="1796" width="13.7109375" style="477" customWidth="1"/>
    <col min="1797" max="1797" width="18.7109375" style="477" customWidth="1"/>
    <col min="1798" max="1798" width="9" style="477" customWidth="1"/>
    <col min="1799" max="1799" width="11.5703125" style="477" customWidth="1"/>
    <col min="1800" max="1800" width="12.7109375" style="477" customWidth="1"/>
    <col min="1801" max="1801" width="14.140625" style="477" customWidth="1"/>
    <col min="1802" max="1802" width="19" style="477" customWidth="1"/>
    <col min="1803" max="2048" width="9.140625" style="477"/>
    <col min="2049" max="2049" width="12.42578125" style="477" customWidth="1"/>
    <col min="2050" max="2050" width="46.42578125" style="477" customWidth="1"/>
    <col min="2051" max="2051" width="10.42578125" style="477" customWidth="1"/>
    <col min="2052" max="2052" width="13.7109375" style="477" customWidth="1"/>
    <col min="2053" max="2053" width="18.7109375" style="477" customWidth="1"/>
    <col min="2054" max="2054" width="9" style="477" customWidth="1"/>
    <col min="2055" max="2055" width="11.5703125" style="477" customWidth="1"/>
    <col min="2056" max="2056" width="12.7109375" style="477" customWidth="1"/>
    <col min="2057" max="2057" width="14.140625" style="477" customWidth="1"/>
    <col min="2058" max="2058" width="19" style="477" customWidth="1"/>
    <col min="2059" max="2304" width="9.140625" style="477"/>
    <col min="2305" max="2305" width="12.42578125" style="477" customWidth="1"/>
    <col min="2306" max="2306" width="46.42578125" style="477" customWidth="1"/>
    <col min="2307" max="2307" width="10.42578125" style="477" customWidth="1"/>
    <col min="2308" max="2308" width="13.7109375" style="477" customWidth="1"/>
    <col min="2309" max="2309" width="18.7109375" style="477" customWidth="1"/>
    <col min="2310" max="2310" width="9" style="477" customWidth="1"/>
    <col min="2311" max="2311" width="11.5703125" style="477" customWidth="1"/>
    <col min="2312" max="2312" width="12.7109375" style="477" customWidth="1"/>
    <col min="2313" max="2313" width="14.140625" style="477" customWidth="1"/>
    <col min="2314" max="2314" width="19" style="477" customWidth="1"/>
    <col min="2315" max="2560" width="9.140625" style="477"/>
    <col min="2561" max="2561" width="12.42578125" style="477" customWidth="1"/>
    <col min="2562" max="2562" width="46.42578125" style="477" customWidth="1"/>
    <col min="2563" max="2563" width="10.42578125" style="477" customWidth="1"/>
    <col min="2564" max="2564" width="13.7109375" style="477" customWidth="1"/>
    <col min="2565" max="2565" width="18.7109375" style="477" customWidth="1"/>
    <col min="2566" max="2566" width="9" style="477" customWidth="1"/>
    <col min="2567" max="2567" width="11.5703125" style="477" customWidth="1"/>
    <col min="2568" max="2568" width="12.7109375" style="477" customWidth="1"/>
    <col min="2569" max="2569" width="14.140625" style="477" customWidth="1"/>
    <col min="2570" max="2570" width="19" style="477" customWidth="1"/>
    <col min="2571" max="2816" width="9.140625" style="477"/>
    <col min="2817" max="2817" width="12.42578125" style="477" customWidth="1"/>
    <col min="2818" max="2818" width="46.42578125" style="477" customWidth="1"/>
    <col min="2819" max="2819" width="10.42578125" style="477" customWidth="1"/>
    <col min="2820" max="2820" width="13.7109375" style="477" customWidth="1"/>
    <col min="2821" max="2821" width="18.7109375" style="477" customWidth="1"/>
    <col min="2822" max="2822" width="9" style="477" customWidth="1"/>
    <col min="2823" max="2823" width="11.5703125" style="477" customWidth="1"/>
    <col min="2824" max="2824" width="12.7109375" style="477" customWidth="1"/>
    <col min="2825" max="2825" width="14.140625" style="477" customWidth="1"/>
    <col min="2826" max="2826" width="19" style="477" customWidth="1"/>
    <col min="2827" max="3072" width="9.140625" style="477"/>
    <col min="3073" max="3073" width="12.42578125" style="477" customWidth="1"/>
    <col min="3074" max="3074" width="46.42578125" style="477" customWidth="1"/>
    <col min="3075" max="3075" width="10.42578125" style="477" customWidth="1"/>
    <col min="3076" max="3076" width="13.7109375" style="477" customWidth="1"/>
    <col min="3077" max="3077" width="18.7109375" style="477" customWidth="1"/>
    <col min="3078" max="3078" width="9" style="477" customWidth="1"/>
    <col min="3079" max="3079" width="11.5703125" style="477" customWidth="1"/>
    <col min="3080" max="3080" width="12.7109375" style="477" customWidth="1"/>
    <col min="3081" max="3081" width="14.140625" style="477" customWidth="1"/>
    <col min="3082" max="3082" width="19" style="477" customWidth="1"/>
    <col min="3083" max="3328" width="9.140625" style="477"/>
    <col min="3329" max="3329" width="12.42578125" style="477" customWidth="1"/>
    <col min="3330" max="3330" width="46.42578125" style="477" customWidth="1"/>
    <col min="3331" max="3331" width="10.42578125" style="477" customWidth="1"/>
    <col min="3332" max="3332" width="13.7109375" style="477" customWidth="1"/>
    <col min="3333" max="3333" width="18.7109375" style="477" customWidth="1"/>
    <col min="3334" max="3334" width="9" style="477" customWidth="1"/>
    <col min="3335" max="3335" width="11.5703125" style="477" customWidth="1"/>
    <col min="3336" max="3336" width="12.7109375" style="477" customWidth="1"/>
    <col min="3337" max="3337" width="14.140625" style="477" customWidth="1"/>
    <col min="3338" max="3338" width="19" style="477" customWidth="1"/>
    <col min="3339" max="3584" width="9.140625" style="477"/>
    <col min="3585" max="3585" width="12.42578125" style="477" customWidth="1"/>
    <col min="3586" max="3586" width="46.42578125" style="477" customWidth="1"/>
    <col min="3587" max="3587" width="10.42578125" style="477" customWidth="1"/>
    <col min="3588" max="3588" width="13.7109375" style="477" customWidth="1"/>
    <col min="3589" max="3589" width="18.7109375" style="477" customWidth="1"/>
    <col min="3590" max="3590" width="9" style="477" customWidth="1"/>
    <col min="3591" max="3591" width="11.5703125" style="477" customWidth="1"/>
    <col min="3592" max="3592" width="12.7109375" style="477" customWidth="1"/>
    <col min="3593" max="3593" width="14.140625" style="477" customWidth="1"/>
    <col min="3594" max="3594" width="19" style="477" customWidth="1"/>
    <col min="3595" max="3840" width="9.140625" style="477"/>
    <col min="3841" max="3841" width="12.42578125" style="477" customWidth="1"/>
    <col min="3842" max="3842" width="46.42578125" style="477" customWidth="1"/>
    <col min="3843" max="3843" width="10.42578125" style="477" customWidth="1"/>
    <col min="3844" max="3844" width="13.7109375" style="477" customWidth="1"/>
    <col min="3845" max="3845" width="18.7109375" style="477" customWidth="1"/>
    <col min="3846" max="3846" width="9" style="477" customWidth="1"/>
    <col min="3847" max="3847" width="11.5703125" style="477" customWidth="1"/>
    <col min="3848" max="3848" width="12.7109375" style="477" customWidth="1"/>
    <col min="3849" max="3849" width="14.140625" style="477" customWidth="1"/>
    <col min="3850" max="3850" width="19" style="477" customWidth="1"/>
    <col min="3851" max="4096" width="9.140625" style="477"/>
    <col min="4097" max="4097" width="12.42578125" style="477" customWidth="1"/>
    <col min="4098" max="4098" width="46.42578125" style="477" customWidth="1"/>
    <col min="4099" max="4099" width="10.42578125" style="477" customWidth="1"/>
    <col min="4100" max="4100" width="13.7109375" style="477" customWidth="1"/>
    <col min="4101" max="4101" width="18.7109375" style="477" customWidth="1"/>
    <col min="4102" max="4102" width="9" style="477" customWidth="1"/>
    <col min="4103" max="4103" width="11.5703125" style="477" customWidth="1"/>
    <col min="4104" max="4104" width="12.7109375" style="477" customWidth="1"/>
    <col min="4105" max="4105" width="14.140625" style="477" customWidth="1"/>
    <col min="4106" max="4106" width="19" style="477" customWidth="1"/>
    <col min="4107" max="4352" width="9.140625" style="477"/>
    <col min="4353" max="4353" width="12.42578125" style="477" customWidth="1"/>
    <col min="4354" max="4354" width="46.42578125" style="477" customWidth="1"/>
    <col min="4355" max="4355" width="10.42578125" style="477" customWidth="1"/>
    <col min="4356" max="4356" width="13.7109375" style="477" customWidth="1"/>
    <col min="4357" max="4357" width="18.7109375" style="477" customWidth="1"/>
    <col min="4358" max="4358" width="9" style="477" customWidth="1"/>
    <col min="4359" max="4359" width="11.5703125" style="477" customWidth="1"/>
    <col min="4360" max="4360" width="12.7109375" style="477" customWidth="1"/>
    <col min="4361" max="4361" width="14.140625" style="477" customWidth="1"/>
    <col min="4362" max="4362" width="19" style="477" customWidth="1"/>
    <col min="4363" max="4608" width="9.140625" style="477"/>
    <col min="4609" max="4609" width="12.42578125" style="477" customWidth="1"/>
    <col min="4610" max="4610" width="46.42578125" style="477" customWidth="1"/>
    <col min="4611" max="4611" width="10.42578125" style="477" customWidth="1"/>
    <col min="4612" max="4612" width="13.7109375" style="477" customWidth="1"/>
    <col min="4613" max="4613" width="18.7109375" style="477" customWidth="1"/>
    <col min="4614" max="4614" width="9" style="477" customWidth="1"/>
    <col min="4615" max="4615" width="11.5703125" style="477" customWidth="1"/>
    <col min="4616" max="4616" width="12.7109375" style="477" customWidth="1"/>
    <col min="4617" max="4617" width="14.140625" style="477" customWidth="1"/>
    <col min="4618" max="4618" width="19" style="477" customWidth="1"/>
    <col min="4619" max="4864" width="9.140625" style="477"/>
    <col min="4865" max="4865" width="12.42578125" style="477" customWidth="1"/>
    <col min="4866" max="4866" width="46.42578125" style="477" customWidth="1"/>
    <col min="4867" max="4867" width="10.42578125" style="477" customWidth="1"/>
    <col min="4868" max="4868" width="13.7109375" style="477" customWidth="1"/>
    <col min="4869" max="4869" width="18.7109375" style="477" customWidth="1"/>
    <col min="4870" max="4870" width="9" style="477" customWidth="1"/>
    <col min="4871" max="4871" width="11.5703125" style="477" customWidth="1"/>
    <col min="4872" max="4872" width="12.7109375" style="477" customWidth="1"/>
    <col min="4873" max="4873" width="14.140625" style="477" customWidth="1"/>
    <col min="4874" max="4874" width="19" style="477" customWidth="1"/>
    <col min="4875" max="5120" width="9.140625" style="477"/>
    <col min="5121" max="5121" width="12.42578125" style="477" customWidth="1"/>
    <col min="5122" max="5122" width="46.42578125" style="477" customWidth="1"/>
    <col min="5123" max="5123" width="10.42578125" style="477" customWidth="1"/>
    <col min="5124" max="5124" width="13.7109375" style="477" customWidth="1"/>
    <col min="5125" max="5125" width="18.7109375" style="477" customWidth="1"/>
    <col min="5126" max="5126" width="9" style="477" customWidth="1"/>
    <col min="5127" max="5127" width="11.5703125" style="477" customWidth="1"/>
    <col min="5128" max="5128" width="12.7109375" style="477" customWidth="1"/>
    <col min="5129" max="5129" width="14.140625" style="477" customWidth="1"/>
    <col min="5130" max="5130" width="19" style="477" customWidth="1"/>
    <col min="5131" max="5376" width="9.140625" style="477"/>
    <col min="5377" max="5377" width="12.42578125" style="477" customWidth="1"/>
    <col min="5378" max="5378" width="46.42578125" style="477" customWidth="1"/>
    <col min="5379" max="5379" width="10.42578125" style="477" customWidth="1"/>
    <col min="5380" max="5380" width="13.7109375" style="477" customWidth="1"/>
    <col min="5381" max="5381" width="18.7109375" style="477" customWidth="1"/>
    <col min="5382" max="5382" width="9" style="477" customWidth="1"/>
    <col min="5383" max="5383" width="11.5703125" style="477" customWidth="1"/>
    <col min="5384" max="5384" width="12.7109375" style="477" customWidth="1"/>
    <col min="5385" max="5385" width="14.140625" style="477" customWidth="1"/>
    <col min="5386" max="5386" width="19" style="477" customWidth="1"/>
    <col min="5387" max="5632" width="9.140625" style="477"/>
    <col min="5633" max="5633" width="12.42578125" style="477" customWidth="1"/>
    <col min="5634" max="5634" width="46.42578125" style="477" customWidth="1"/>
    <col min="5635" max="5635" width="10.42578125" style="477" customWidth="1"/>
    <col min="5636" max="5636" width="13.7109375" style="477" customWidth="1"/>
    <col min="5637" max="5637" width="18.7109375" style="477" customWidth="1"/>
    <col min="5638" max="5638" width="9" style="477" customWidth="1"/>
    <col min="5639" max="5639" width="11.5703125" style="477" customWidth="1"/>
    <col min="5640" max="5640" width="12.7109375" style="477" customWidth="1"/>
    <col min="5641" max="5641" width="14.140625" style="477" customWidth="1"/>
    <col min="5642" max="5642" width="19" style="477" customWidth="1"/>
    <col min="5643" max="5888" width="9.140625" style="477"/>
    <col min="5889" max="5889" width="12.42578125" style="477" customWidth="1"/>
    <col min="5890" max="5890" width="46.42578125" style="477" customWidth="1"/>
    <col min="5891" max="5891" width="10.42578125" style="477" customWidth="1"/>
    <col min="5892" max="5892" width="13.7109375" style="477" customWidth="1"/>
    <col min="5893" max="5893" width="18.7109375" style="477" customWidth="1"/>
    <col min="5894" max="5894" width="9" style="477" customWidth="1"/>
    <col min="5895" max="5895" width="11.5703125" style="477" customWidth="1"/>
    <col min="5896" max="5896" width="12.7109375" style="477" customWidth="1"/>
    <col min="5897" max="5897" width="14.140625" style="477" customWidth="1"/>
    <col min="5898" max="5898" width="19" style="477" customWidth="1"/>
    <col min="5899" max="6144" width="9.140625" style="477"/>
    <col min="6145" max="6145" width="12.42578125" style="477" customWidth="1"/>
    <col min="6146" max="6146" width="46.42578125" style="477" customWidth="1"/>
    <col min="6147" max="6147" width="10.42578125" style="477" customWidth="1"/>
    <col min="6148" max="6148" width="13.7109375" style="477" customWidth="1"/>
    <col min="6149" max="6149" width="18.7109375" style="477" customWidth="1"/>
    <col min="6150" max="6150" width="9" style="477" customWidth="1"/>
    <col min="6151" max="6151" width="11.5703125" style="477" customWidth="1"/>
    <col min="6152" max="6152" width="12.7109375" style="477" customWidth="1"/>
    <col min="6153" max="6153" width="14.140625" style="477" customWidth="1"/>
    <col min="6154" max="6154" width="19" style="477" customWidth="1"/>
    <col min="6155" max="6400" width="9.140625" style="477"/>
    <col min="6401" max="6401" width="12.42578125" style="477" customWidth="1"/>
    <col min="6402" max="6402" width="46.42578125" style="477" customWidth="1"/>
    <col min="6403" max="6403" width="10.42578125" style="477" customWidth="1"/>
    <col min="6404" max="6404" width="13.7109375" style="477" customWidth="1"/>
    <col min="6405" max="6405" width="18.7109375" style="477" customWidth="1"/>
    <col min="6406" max="6406" width="9" style="477" customWidth="1"/>
    <col min="6407" max="6407" width="11.5703125" style="477" customWidth="1"/>
    <col min="6408" max="6408" width="12.7109375" style="477" customWidth="1"/>
    <col min="6409" max="6409" width="14.140625" style="477" customWidth="1"/>
    <col min="6410" max="6410" width="19" style="477" customWidth="1"/>
    <col min="6411" max="6656" width="9.140625" style="477"/>
    <col min="6657" max="6657" width="12.42578125" style="477" customWidth="1"/>
    <col min="6658" max="6658" width="46.42578125" style="477" customWidth="1"/>
    <col min="6659" max="6659" width="10.42578125" style="477" customWidth="1"/>
    <col min="6660" max="6660" width="13.7109375" style="477" customWidth="1"/>
    <col min="6661" max="6661" width="18.7109375" style="477" customWidth="1"/>
    <col min="6662" max="6662" width="9" style="477" customWidth="1"/>
    <col min="6663" max="6663" width="11.5703125" style="477" customWidth="1"/>
    <col min="6664" max="6664" width="12.7109375" style="477" customWidth="1"/>
    <col min="6665" max="6665" width="14.140625" style="477" customWidth="1"/>
    <col min="6666" max="6666" width="19" style="477" customWidth="1"/>
    <col min="6667" max="6912" width="9.140625" style="477"/>
    <col min="6913" max="6913" width="12.42578125" style="477" customWidth="1"/>
    <col min="6914" max="6914" width="46.42578125" style="477" customWidth="1"/>
    <col min="6915" max="6915" width="10.42578125" style="477" customWidth="1"/>
    <col min="6916" max="6916" width="13.7109375" style="477" customWidth="1"/>
    <col min="6917" max="6917" width="18.7109375" style="477" customWidth="1"/>
    <col min="6918" max="6918" width="9" style="477" customWidth="1"/>
    <col min="6919" max="6919" width="11.5703125" style="477" customWidth="1"/>
    <col min="6920" max="6920" width="12.7109375" style="477" customWidth="1"/>
    <col min="6921" max="6921" width="14.140625" style="477" customWidth="1"/>
    <col min="6922" max="6922" width="19" style="477" customWidth="1"/>
    <col min="6923" max="7168" width="9.140625" style="477"/>
    <col min="7169" max="7169" width="12.42578125" style="477" customWidth="1"/>
    <col min="7170" max="7170" width="46.42578125" style="477" customWidth="1"/>
    <col min="7171" max="7171" width="10.42578125" style="477" customWidth="1"/>
    <col min="7172" max="7172" width="13.7109375" style="477" customWidth="1"/>
    <col min="7173" max="7173" width="18.7109375" style="477" customWidth="1"/>
    <col min="7174" max="7174" width="9" style="477" customWidth="1"/>
    <col min="7175" max="7175" width="11.5703125" style="477" customWidth="1"/>
    <col min="7176" max="7176" width="12.7109375" style="477" customWidth="1"/>
    <col min="7177" max="7177" width="14.140625" style="477" customWidth="1"/>
    <col min="7178" max="7178" width="19" style="477" customWidth="1"/>
    <col min="7179" max="7424" width="9.140625" style="477"/>
    <col min="7425" max="7425" width="12.42578125" style="477" customWidth="1"/>
    <col min="7426" max="7426" width="46.42578125" style="477" customWidth="1"/>
    <col min="7427" max="7427" width="10.42578125" style="477" customWidth="1"/>
    <col min="7428" max="7428" width="13.7109375" style="477" customWidth="1"/>
    <col min="7429" max="7429" width="18.7109375" style="477" customWidth="1"/>
    <col min="7430" max="7430" width="9" style="477" customWidth="1"/>
    <col min="7431" max="7431" width="11.5703125" style="477" customWidth="1"/>
    <col min="7432" max="7432" width="12.7109375" style="477" customWidth="1"/>
    <col min="7433" max="7433" width="14.140625" style="477" customWidth="1"/>
    <col min="7434" max="7434" width="19" style="477" customWidth="1"/>
    <col min="7435" max="7680" width="9.140625" style="477"/>
    <col min="7681" max="7681" width="12.42578125" style="477" customWidth="1"/>
    <col min="7682" max="7682" width="46.42578125" style="477" customWidth="1"/>
    <col min="7683" max="7683" width="10.42578125" style="477" customWidth="1"/>
    <col min="7684" max="7684" width="13.7109375" style="477" customWidth="1"/>
    <col min="7685" max="7685" width="18.7109375" style="477" customWidth="1"/>
    <col min="7686" max="7686" width="9" style="477" customWidth="1"/>
    <col min="7687" max="7687" width="11.5703125" style="477" customWidth="1"/>
    <col min="7688" max="7688" width="12.7109375" style="477" customWidth="1"/>
    <col min="7689" max="7689" width="14.140625" style="477" customWidth="1"/>
    <col min="7690" max="7690" width="19" style="477" customWidth="1"/>
    <col min="7691" max="7936" width="9.140625" style="477"/>
    <col min="7937" max="7937" width="12.42578125" style="477" customWidth="1"/>
    <col min="7938" max="7938" width="46.42578125" style="477" customWidth="1"/>
    <col min="7939" max="7939" width="10.42578125" style="477" customWidth="1"/>
    <col min="7940" max="7940" width="13.7109375" style="477" customWidth="1"/>
    <col min="7941" max="7941" width="18.7109375" style="477" customWidth="1"/>
    <col min="7942" max="7942" width="9" style="477" customWidth="1"/>
    <col min="7943" max="7943" width="11.5703125" style="477" customWidth="1"/>
    <col min="7944" max="7944" width="12.7109375" style="477" customWidth="1"/>
    <col min="7945" max="7945" width="14.140625" style="477" customWidth="1"/>
    <col min="7946" max="7946" width="19" style="477" customWidth="1"/>
    <col min="7947" max="8192" width="9.140625" style="477"/>
    <col min="8193" max="8193" width="12.42578125" style="477" customWidth="1"/>
    <col min="8194" max="8194" width="46.42578125" style="477" customWidth="1"/>
    <col min="8195" max="8195" width="10.42578125" style="477" customWidth="1"/>
    <col min="8196" max="8196" width="13.7109375" style="477" customWidth="1"/>
    <col min="8197" max="8197" width="18.7109375" style="477" customWidth="1"/>
    <col min="8198" max="8198" width="9" style="477" customWidth="1"/>
    <col min="8199" max="8199" width="11.5703125" style="477" customWidth="1"/>
    <col min="8200" max="8200" width="12.7109375" style="477" customWidth="1"/>
    <col min="8201" max="8201" width="14.140625" style="477" customWidth="1"/>
    <col min="8202" max="8202" width="19" style="477" customWidth="1"/>
    <col min="8203" max="8448" width="9.140625" style="477"/>
    <col min="8449" max="8449" width="12.42578125" style="477" customWidth="1"/>
    <col min="8450" max="8450" width="46.42578125" style="477" customWidth="1"/>
    <col min="8451" max="8451" width="10.42578125" style="477" customWidth="1"/>
    <col min="8452" max="8452" width="13.7109375" style="477" customWidth="1"/>
    <col min="8453" max="8453" width="18.7109375" style="477" customWidth="1"/>
    <col min="8454" max="8454" width="9" style="477" customWidth="1"/>
    <col min="8455" max="8455" width="11.5703125" style="477" customWidth="1"/>
    <col min="8456" max="8456" width="12.7109375" style="477" customWidth="1"/>
    <col min="8457" max="8457" width="14.140625" style="477" customWidth="1"/>
    <col min="8458" max="8458" width="19" style="477" customWidth="1"/>
    <col min="8459" max="8704" width="9.140625" style="477"/>
    <col min="8705" max="8705" width="12.42578125" style="477" customWidth="1"/>
    <col min="8706" max="8706" width="46.42578125" style="477" customWidth="1"/>
    <col min="8707" max="8707" width="10.42578125" style="477" customWidth="1"/>
    <col min="8708" max="8708" width="13.7109375" style="477" customWidth="1"/>
    <col min="8709" max="8709" width="18.7109375" style="477" customWidth="1"/>
    <col min="8710" max="8710" width="9" style="477" customWidth="1"/>
    <col min="8711" max="8711" width="11.5703125" style="477" customWidth="1"/>
    <col min="8712" max="8712" width="12.7109375" style="477" customWidth="1"/>
    <col min="8713" max="8713" width="14.140625" style="477" customWidth="1"/>
    <col min="8714" max="8714" width="19" style="477" customWidth="1"/>
    <col min="8715" max="8960" width="9.140625" style="477"/>
    <col min="8961" max="8961" width="12.42578125" style="477" customWidth="1"/>
    <col min="8962" max="8962" width="46.42578125" style="477" customWidth="1"/>
    <col min="8963" max="8963" width="10.42578125" style="477" customWidth="1"/>
    <col min="8964" max="8964" width="13.7109375" style="477" customWidth="1"/>
    <col min="8965" max="8965" width="18.7109375" style="477" customWidth="1"/>
    <col min="8966" max="8966" width="9" style="477" customWidth="1"/>
    <col min="8967" max="8967" width="11.5703125" style="477" customWidth="1"/>
    <col min="8968" max="8968" width="12.7109375" style="477" customWidth="1"/>
    <col min="8969" max="8969" width="14.140625" style="477" customWidth="1"/>
    <col min="8970" max="8970" width="19" style="477" customWidth="1"/>
    <col min="8971" max="9216" width="9.140625" style="477"/>
    <col min="9217" max="9217" width="12.42578125" style="477" customWidth="1"/>
    <col min="9218" max="9218" width="46.42578125" style="477" customWidth="1"/>
    <col min="9219" max="9219" width="10.42578125" style="477" customWidth="1"/>
    <col min="9220" max="9220" width="13.7109375" style="477" customWidth="1"/>
    <col min="9221" max="9221" width="18.7109375" style="477" customWidth="1"/>
    <col min="9222" max="9222" width="9" style="477" customWidth="1"/>
    <col min="9223" max="9223" width="11.5703125" style="477" customWidth="1"/>
    <col min="9224" max="9224" width="12.7109375" style="477" customWidth="1"/>
    <col min="9225" max="9225" width="14.140625" style="477" customWidth="1"/>
    <col min="9226" max="9226" width="19" style="477" customWidth="1"/>
    <col min="9227" max="9472" width="9.140625" style="477"/>
    <col min="9473" max="9473" width="12.42578125" style="477" customWidth="1"/>
    <col min="9474" max="9474" width="46.42578125" style="477" customWidth="1"/>
    <col min="9475" max="9475" width="10.42578125" style="477" customWidth="1"/>
    <col min="9476" max="9476" width="13.7109375" style="477" customWidth="1"/>
    <col min="9477" max="9477" width="18.7109375" style="477" customWidth="1"/>
    <col min="9478" max="9478" width="9" style="477" customWidth="1"/>
    <col min="9479" max="9479" width="11.5703125" style="477" customWidth="1"/>
    <col min="9480" max="9480" width="12.7109375" style="477" customWidth="1"/>
    <col min="9481" max="9481" width="14.140625" style="477" customWidth="1"/>
    <col min="9482" max="9482" width="19" style="477" customWidth="1"/>
    <col min="9483" max="9728" width="9.140625" style="477"/>
    <col min="9729" max="9729" width="12.42578125" style="477" customWidth="1"/>
    <col min="9730" max="9730" width="46.42578125" style="477" customWidth="1"/>
    <col min="9731" max="9731" width="10.42578125" style="477" customWidth="1"/>
    <col min="9732" max="9732" width="13.7109375" style="477" customWidth="1"/>
    <col min="9733" max="9733" width="18.7109375" style="477" customWidth="1"/>
    <col min="9734" max="9734" width="9" style="477" customWidth="1"/>
    <col min="9735" max="9735" width="11.5703125" style="477" customWidth="1"/>
    <col min="9736" max="9736" width="12.7109375" style="477" customWidth="1"/>
    <col min="9737" max="9737" width="14.140625" style="477" customWidth="1"/>
    <col min="9738" max="9738" width="19" style="477" customWidth="1"/>
    <col min="9739" max="9984" width="9.140625" style="477"/>
    <col min="9985" max="9985" width="12.42578125" style="477" customWidth="1"/>
    <col min="9986" max="9986" width="46.42578125" style="477" customWidth="1"/>
    <col min="9987" max="9987" width="10.42578125" style="477" customWidth="1"/>
    <col min="9988" max="9988" width="13.7109375" style="477" customWidth="1"/>
    <col min="9989" max="9989" width="18.7109375" style="477" customWidth="1"/>
    <col min="9990" max="9990" width="9" style="477" customWidth="1"/>
    <col min="9991" max="9991" width="11.5703125" style="477" customWidth="1"/>
    <col min="9992" max="9992" width="12.7109375" style="477" customWidth="1"/>
    <col min="9993" max="9993" width="14.140625" style="477" customWidth="1"/>
    <col min="9994" max="9994" width="19" style="477" customWidth="1"/>
    <col min="9995" max="10240" width="9.140625" style="477"/>
    <col min="10241" max="10241" width="12.42578125" style="477" customWidth="1"/>
    <col min="10242" max="10242" width="46.42578125" style="477" customWidth="1"/>
    <col min="10243" max="10243" width="10.42578125" style="477" customWidth="1"/>
    <col min="10244" max="10244" width="13.7109375" style="477" customWidth="1"/>
    <col min="10245" max="10245" width="18.7109375" style="477" customWidth="1"/>
    <col min="10246" max="10246" width="9" style="477" customWidth="1"/>
    <col min="10247" max="10247" width="11.5703125" style="477" customWidth="1"/>
    <col min="10248" max="10248" width="12.7109375" style="477" customWidth="1"/>
    <col min="10249" max="10249" width="14.140625" style="477" customWidth="1"/>
    <col min="10250" max="10250" width="19" style="477" customWidth="1"/>
    <col min="10251" max="10496" width="9.140625" style="477"/>
    <col min="10497" max="10497" width="12.42578125" style="477" customWidth="1"/>
    <col min="10498" max="10498" width="46.42578125" style="477" customWidth="1"/>
    <col min="10499" max="10499" width="10.42578125" style="477" customWidth="1"/>
    <col min="10500" max="10500" width="13.7109375" style="477" customWidth="1"/>
    <col min="10501" max="10501" width="18.7109375" style="477" customWidth="1"/>
    <col min="10502" max="10502" width="9" style="477" customWidth="1"/>
    <col min="10503" max="10503" width="11.5703125" style="477" customWidth="1"/>
    <col min="10504" max="10504" width="12.7109375" style="477" customWidth="1"/>
    <col min="10505" max="10505" width="14.140625" style="477" customWidth="1"/>
    <col min="10506" max="10506" width="19" style="477" customWidth="1"/>
    <col min="10507" max="10752" width="9.140625" style="477"/>
    <col min="10753" max="10753" width="12.42578125" style="477" customWidth="1"/>
    <col min="10754" max="10754" width="46.42578125" style="477" customWidth="1"/>
    <col min="10755" max="10755" width="10.42578125" style="477" customWidth="1"/>
    <col min="10756" max="10756" width="13.7109375" style="477" customWidth="1"/>
    <col min="10757" max="10757" width="18.7109375" style="477" customWidth="1"/>
    <col min="10758" max="10758" width="9" style="477" customWidth="1"/>
    <col min="10759" max="10759" width="11.5703125" style="477" customWidth="1"/>
    <col min="10760" max="10760" width="12.7109375" style="477" customWidth="1"/>
    <col min="10761" max="10761" width="14.140625" style="477" customWidth="1"/>
    <col min="10762" max="10762" width="19" style="477" customWidth="1"/>
    <col min="10763" max="11008" width="9.140625" style="477"/>
    <col min="11009" max="11009" width="12.42578125" style="477" customWidth="1"/>
    <col min="11010" max="11010" width="46.42578125" style="477" customWidth="1"/>
    <col min="11011" max="11011" width="10.42578125" style="477" customWidth="1"/>
    <col min="11012" max="11012" width="13.7109375" style="477" customWidth="1"/>
    <col min="11013" max="11013" width="18.7109375" style="477" customWidth="1"/>
    <col min="11014" max="11014" width="9" style="477" customWidth="1"/>
    <col min="11015" max="11015" width="11.5703125" style="477" customWidth="1"/>
    <col min="11016" max="11016" width="12.7109375" style="477" customWidth="1"/>
    <col min="11017" max="11017" width="14.140625" style="477" customWidth="1"/>
    <col min="11018" max="11018" width="19" style="477" customWidth="1"/>
    <col min="11019" max="11264" width="9.140625" style="477"/>
    <col min="11265" max="11265" width="12.42578125" style="477" customWidth="1"/>
    <col min="11266" max="11266" width="46.42578125" style="477" customWidth="1"/>
    <col min="11267" max="11267" width="10.42578125" style="477" customWidth="1"/>
    <col min="11268" max="11268" width="13.7109375" style="477" customWidth="1"/>
    <col min="11269" max="11269" width="18.7109375" style="477" customWidth="1"/>
    <col min="11270" max="11270" width="9" style="477" customWidth="1"/>
    <col min="11271" max="11271" width="11.5703125" style="477" customWidth="1"/>
    <col min="11272" max="11272" width="12.7109375" style="477" customWidth="1"/>
    <col min="11273" max="11273" width="14.140625" style="477" customWidth="1"/>
    <col min="11274" max="11274" width="19" style="477" customWidth="1"/>
    <col min="11275" max="11520" width="9.140625" style="477"/>
    <col min="11521" max="11521" width="12.42578125" style="477" customWidth="1"/>
    <col min="11522" max="11522" width="46.42578125" style="477" customWidth="1"/>
    <col min="11523" max="11523" width="10.42578125" style="477" customWidth="1"/>
    <col min="11524" max="11524" width="13.7109375" style="477" customWidth="1"/>
    <col min="11525" max="11525" width="18.7109375" style="477" customWidth="1"/>
    <col min="11526" max="11526" width="9" style="477" customWidth="1"/>
    <col min="11527" max="11527" width="11.5703125" style="477" customWidth="1"/>
    <col min="11528" max="11528" width="12.7109375" style="477" customWidth="1"/>
    <col min="11529" max="11529" width="14.140625" style="477" customWidth="1"/>
    <col min="11530" max="11530" width="19" style="477" customWidth="1"/>
    <col min="11531" max="11776" width="9.140625" style="477"/>
    <col min="11777" max="11777" width="12.42578125" style="477" customWidth="1"/>
    <col min="11778" max="11778" width="46.42578125" style="477" customWidth="1"/>
    <col min="11779" max="11779" width="10.42578125" style="477" customWidth="1"/>
    <col min="11780" max="11780" width="13.7109375" style="477" customWidth="1"/>
    <col min="11781" max="11781" width="18.7109375" style="477" customWidth="1"/>
    <col min="11782" max="11782" width="9" style="477" customWidth="1"/>
    <col min="11783" max="11783" width="11.5703125" style="477" customWidth="1"/>
    <col min="11784" max="11784" width="12.7109375" style="477" customWidth="1"/>
    <col min="11785" max="11785" width="14.140625" style="477" customWidth="1"/>
    <col min="11786" max="11786" width="19" style="477" customWidth="1"/>
    <col min="11787" max="12032" width="9.140625" style="477"/>
    <col min="12033" max="12033" width="12.42578125" style="477" customWidth="1"/>
    <col min="12034" max="12034" width="46.42578125" style="477" customWidth="1"/>
    <col min="12035" max="12035" width="10.42578125" style="477" customWidth="1"/>
    <col min="12036" max="12036" width="13.7109375" style="477" customWidth="1"/>
    <col min="12037" max="12037" width="18.7109375" style="477" customWidth="1"/>
    <col min="12038" max="12038" width="9" style="477" customWidth="1"/>
    <col min="12039" max="12039" width="11.5703125" style="477" customWidth="1"/>
    <col min="12040" max="12040" width="12.7109375" style="477" customWidth="1"/>
    <col min="12041" max="12041" width="14.140625" style="477" customWidth="1"/>
    <col min="12042" max="12042" width="19" style="477" customWidth="1"/>
    <col min="12043" max="12288" width="9.140625" style="477"/>
    <col min="12289" max="12289" width="12.42578125" style="477" customWidth="1"/>
    <col min="12290" max="12290" width="46.42578125" style="477" customWidth="1"/>
    <col min="12291" max="12291" width="10.42578125" style="477" customWidth="1"/>
    <col min="12292" max="12292" width="13.7109375" style="477" customWidth="1"/>
    <col min="12293" max="12293" width="18.7109375" style="477" customWidth="1"/>
    <col min="12294" max="12294" width="9" style="477" customWidth="1"/>
    <col min="12295" max="12295" width="11.5703125" style="477" customWidth="1"/>
    <col min="12296" max="12296" width="12.7109375" style="477" customWidth="1"/>
    <col min="12297" max="12297" width="14.140625" style="477" customWidth="1"/>
    <col min="12298" max="12298" width="19" style="477" customWidth="1"/>
    <col min="12299" max="12544" width="9.140625" style="477"/>
    <col min="12545" max="12545" width="12.42578125" style="477" customWidth="1"/>
    <col min="12546" max="12546" width="46.42578125" style="477" customWidth="1"/>
    <col min="12547" max="12547" width="10.42578125" style="477" customWidth="1"/>
    <col min="12548" max="12548" width="13.7109375" style="477" customWidth="1"/>
    <col min="12549" max="12549" width="18.7109375" style="477" customWidth="1"/>
    <col min="12550" max="12550" width="9" style="477" customWidth="1"/>
    <col min="12551" max="12551" width="11.5703125" style="477" customWidth="1"/>
    <col min="12552" max="12552" width="12.7109375" style="477" customWidth="1"/>
    <col min="12553" max="12553" width="14.140625" style="477" customWidth="1"/>
    <col min="12554" max="12554" width="19" style="477" customWidth="1"/>
    <col min="12555" max="12800" width="9.140625" style="477"/>
    <col min="12801" max="12801" width="12.42578125" style="477" customWidth="1"/>
    <col min="12802" max="12802" width="46.42578125" style="477" customWidth="1"/>
    <col min="12803" max="12803" width="10.42578125" style="477" customWidth="1"/>
    <col min="12804" max="12804" width="13.7109375" style="477" customWidth="1"/>
    <col min="12805" max="12805" width="18.7109375" style="477" customWidth="1"/>
    <col min="12806" max="12806" width="9" style="477" customWidth="1"/>
    <col min="12807" max="12807" width="11.5703125" style="477" customWidth="1"/>
    <col min="12808" max="12808" width="12.7109375" style="477" customWidth="1"/>
    <col min="12809" max="12809" width="14.140625" style="477" customWidth="1"/>
    <col min="12810" max="12810" width="19" style="477" customWidth="1"/>
    <col min="12811" max="13056" width="9.140625" style="477"/>
    <col min="13057" max="13057" width="12.42578125" style="477" customWidth="1"/>
    <col min="13058" max="13058" width="46.42578125" style="477" customWidth="1"/>
    <col min="13059" max="13059" width="10.42578125" style="477" customWidth="1"/>
    <col min="13060" max="13060" width="13.7109375" style="477" customWidth="1"/>
    <col min="13061" max="13061" width="18.7109375" style="477" customWidth="1"/>
    <col min="13062" max="13062" width="9" style="477" customWidth="1"/>
    <col min="13063" max="13063" width="11.5703125" style="477" customWidth="1"/>
    <col min="13064" max="13064" width="12.7109375" style="477" customWidth="1"/>
    <col min="13065" max="13065" width="14.140625" style="477" customWidth="1"/>
    <col min="13066" max="13066" width="19" style="477" customWidth="1"/>
    <col min="13067" max="13312" width="9.140625" style="477"/>
    <col min="13313" max="13313" width="12.42578125" style="477" customWidth="1"/>
    <col min="13314" max="13314" width="46.42578125" style="477" customWidth="1"/>
    <col min="13315" max="13315" width="10.42578125" style="477" customWidth="1"/>
    <col min="13316" max="13316" width="13.7109375" style="477" customWidth="1"/>
    <col min="13317" max="13317" width="18.7109375" style="477" customWidth="1"/>
    <col min="13318" max="13318" width="9" style="477" customWidth="1"/>
    <col min="13319" max="13319" width="11.5703125" style="477" customWidth="1"/>
    <col min="13320" max="13320" width="12.7109375" style="477" customWidth="1"/>
    <col min="13321" max="13321" width="14.140625" style="477" customWidth="1"/>
    <col min="13322" max="13322" width="19" style="477" customWidth="1"/>
    <col min="13323" max="13568" width="9.140625" style="477"/>
    <col min="13569" max="13569" width="12.42578125" style="477" customWidth="1"/>
    <col min="13570" max="13570" width="46.42578125" style="477" customWidth="1"/>
    <col min="13571" max="13571" width="10.42578125" style="477" customWidth="1"/>
    <col min="13572" max="13572" width="13.7109375" style="477" customWidth="1"/>
    <col min="13573" max="13573" width="18.7109375" style="477" customWidth="1"/>
    <col min="13574" max="13574" width="9" style="477" customWidth="1"/>
    <col min="13575" max="13575" width="11.5703125" style="477" customWidth="1"/>
    <col min="13576" max="13576" width="12.7109375" style="477" customWidth="1"/>
    <col min="13577" max="13577" width="14.140625" style="477" customWidth="1"/>
    <col min="13578" max="13578" width="19" style="477" customWidth="1"/>
    <col min="13579" max="13824" width="9.140625" style="477"/>
    <col min="13825" max="13825" width="12.42578125" style="477" customWidth="1"/>
    <col min="13826" max="13826" width="46.42578125" style="477" customWidth="1"/>
    <col min="13827" max="13827" width="10.42578125" style="477" customWidth="1"/>
    <col min="13828" max="13828" width="13.7109375" style="477" customWidth="1"/>
    <col min="13829" max="13829" width="18.7109375" style="477" customWidth="1"/>
    <col min="13830" max="13830" width="9" style="477" customWidth="1"/>
    <col min="13831" max="13831" width="11.5703125" style="477" customWidth="1"/>
    <col min="13832" max="13832" width="12.7109375" style="477" customWidth="1"/>
    <col min="13833" max="13833" width="14.140625" style="477" customWidth="1"/>
    <col min="13834" max="13834" width="19" style="477" customWidth="1"/>
    <col min="13835" max="14080" width="9.140625" style="477"/>
    <col min="14081" max="14081" width="12.42578125" style="477" customWidth="1"/>
    <col min="14082" max="14082" width="46.42578125" style="477" customWidth="1"/>
    <col min="14083" max="14083" width="10.42578125" style="477" customWidth="1"/>
    <col min="14084" max="14084" width="13.7109375" style="477" customWidth="1"/>
    <col min="14085" max="14085" width="18.7109375" style="477" customWidth="1"/>
    <col min="14086" max="14086" width="9" style="477" customWidth="1"/>
    <col min="14087" max="14087" width="11.5703125" style="477" customWidth="1"/>
    <col min="14088" max="14088" width="12.7109375" style="477" customWidth="1"/>
    <col min="14089" max="14089" width="14.140625" style="477" customWidth="1"/>
    <col min="14090" max="14090" width="19" style="477" customWidth="1"/>
    <col min="14091" max="14336" width="9.140625" style="477"/>
    <col min="14337" max="14337" width="12.42578125" style="477" customWidth="1"/>
    <col min="14338" max="14338" width="46.42578125" style="477" customWidth="1"/>
    <col min="14339" max="14339" width="10.42578125" style="477" customWidth="1"/>
    <col min="14340" max="14340" width="13.7109375" style="477" customWidth="1"/>
    <col min="14341" max="14341" width="18.7109375" style="477" customWidth="1"/>
    <col min="14342" max="14342" width="9" style="477" customWidth="1"/>
    <col min="14343" max="14343" width="11.5703125" style="477" customWidth="1"/>
    <col min="14344" max="14344" width="12.7109375" style="477" customWidth="1"/>
    <col min="14345" max="14345" width="14.140625" style="477" customWidth="1"/>
    <col min="14346" max="14346" width="19" style="477" customWidth="1"/>
    <col min="14347" max="14592" width="9.140625" style="477"/>
    <col min="14593" max="14593" width="12.42578125" style="477" customWidth="1"/>
    <col min="14594" max="14594" width="46.42578125" style="477" customWidth="1"/>
    <col min="14595" max="14595" width="10.42578125" style="477" customWidth="1"/>
    <col min="14596" max="14596" width="13.7109375" style="477" customWidth="1"/>
    <col min="14597" max="14597" width="18.7109375" style="477" customWidth="1"/>
    <col min="14598" max="14598" width="9" style="477" customWidth="1"/>
    <col min="14599" max="14599" width="11.5703125" style="477" customWidth="1"/>
    <col min="14600" max="14600" width="12.7109375" style="477" customWidth="1"/>
    <col min="14601" max="14601" width="14.140625" style="477" customWidth="1"/>
    <col min="14602" max="14602" width="19" style="477" customWidth="1"/>
    <col min="14603" max="14848" width="9.140625" style="477"/>
    <col min="14849" max="14849" width="12.42578125" style="477" customWidth="1"/>
    <col min="14850" max="14850" width="46.42578125" style="477" customWidth="1"/>
    <col min="14851" max="14851" width="10.42578125" style="477" customWidth="1"/>
    <col min="14852" max="14852" width="13.7109375" style="477" customWidth="1"/>
    <col min="14853" max="14853" width="18.7109375" style="477" customWidth="1"/>
    <col min="14854" max="14854" width="9" style="477" customWidth="1"/>
    <col min="14855" max="14855" width="11.5703125" style="477" customWidth="1"/>
    <col min="14856" max="14856" width="12.7109375" style="477" customWidth="1"/>
    <col min="14857" max="14857" width="14.140625" style="477" customWidth="1"/>
    <col min="14858" max="14858" width="19" style="477" customWidth="1"/>
    <col min="14859" max="15104" width="9.140625" style="477"/>
    <col min="15105" max="15105" width="12.42578125" style="477" customWidth="1"/>
    <col min="15106" max="15106" width="46.42578125" style="477" customWidth="1"/>
    <col min="15107" max="15107" width="10.42578125" style="477" customWidth="1"/>
    <col min="15108" max="15108" width="13.7109375" style="477" customWidth="1"/>
    <col min="15109" max="15109" width="18.7109375" style="477" customWidth="1"/>
    <col min="15110" max="15110" width="9" style="477" customWidth="1"/>
    <col min="15111" max="15111" width="11.5703125" style="477" customWidth="1"/>
    <col min="15112" max="15112" width="12.7109375" style="477" customWidth="1"/>
    <col min="15113" max="15113" width="14.140625" style="477" customWidth="1"/>
    <col min="15114" max="15114" width="19" style="477" customWidth="1"/>
    <col min="15115" max="15360" width="9.140625" style="477"/>
    <col min="15361" max="15361" width="12.42578125" style="477" customWidth="1"/>
    <col min="15362" max="15362" width="46.42578125" style="477" customWidth="1"/>
    <col min="15363" max="15363" width="10.42578125" style="477" customWidth="1"/>
    <col min="15364" max="15364" width="13.7109375" style="477" customWidth="1"/>
    <col min="15365" max="15365" width="18.7109375" style="477" customWidth="1"/>
    <col min="15366" max="15366" width="9" style="477" customWidth="1"/>
    <col min="15367" max="15367" width="11.5703125" style="477" customWidth="1"/>
    <col min="15368" max="15368" width="12.7109375" style="477" customWidth="1"/>
    <col min="15369" max="15369" width="14.140625" style="477" customWidth="1"/>
    <col min="15370" max="15370" width="19" style="477" customWidth="1"/>
    <col min="15371" max="15616" width="9.140625" style="477"/>
    <col min="15617" max="15617" width="12.42578125" style="477" customWidth="1"/>
    <col min="15618" max="15618" width="46.42578125" style="477" customWidth="1"/>
    <col min="15619" max="15619" width="10.42578125" style="477" customWidth="1"/>
    <col min="15620" max="15620" width="13.7109375" style="477" customWidth="1"/>
    <col min="15621" max="15621" width="18.7109375" style="477" customWidth="1"/>
    <col min="15622" max="15622" width="9" style="477" customWidth="1"/>
    <col min="15623" max="15623" width="11.5703125" style="477" customWidth="1"/>
    <col min="15624" max="15624" width="12.7109375" style="477" customWidth="1"/>
    <col min="15625" max="15625" width="14.140625" style="477" customWidth="1"/>
    <col min="15626" max="15626" width="19" style="477" customWidth="1"/>
    <col min="15627" max="15872" width="9.140625" style="477"/>
    <col min="15873" max="15873" width="12.42578125" style="477" customWidth="1"/>
    <col min="15874" max="15874" width="46.42578125" style="477" customWidth="1"/>
    <col min="15875" max="15875" width="10.42578125" style="477" customWidth="1"/>
    <col min="15876" max="15876" width="13.7109375" style="477" customWidth="1"/>
    <col min="15877" max="15877" width="18.7109375" style="477" customWidth="1"/>
    <col min="15878" max="15878" width="9" style="477" customWidth="1"/>
    <col min="15879" max="15879" width="11.5703125" style="477" customWidth="1"/>
    <col min="15880" max="15880" width="12.7109375" style="477" customWidth="1"/>
    <col min="15881" max="15881" width="14.140625" style="477" customWidth="1"/>
    <col min="15882" max="15882" width="19" style="477" customWidth="1"/>
    <col min="15883" max="16128" width="9.140625" style="477"/>
    <col min="16129" max="16129" width="12.42578125" style="477" customWidth="1"/>
    <col min="16130" max="16130" width="46.42578125" style="477" customWidth="1"/>
    <col min="16131" max="16131" width="10.42578125" style="477" customWidth="1"/>
    <col min="16132" max="16132" width="13.7109375" style="477" customWidth="1"/>
    <col min="16133" max="16133" width="18.7109375" style="477" customWidth="1"/>
    <col min="16134" max="16134" width="9" style="477" customWidth="1"/>
    <col min="16135" max="16135" width="11.5703125" style="477" customWidth="1"/>
    <col min="16136" max="16136" width="12.7109375" style="477" customWidth="1"/>
    <col min="16137" max="16137" width="14.140625" style="477" customWidth="1"/>
    <col min="16138" max="16138" width="19" style="477" customWidth="1"/>
    <col min="16139" max="16384" width="9.140625" style="477"/>
  </cols>
  <sheetData>
    <row r="1" spans="1:12" ht="15.75" x14ac:dyDescent="0.25">
      <c r="A1" s="476"/>
      <c r="B1" s="476"/>
      <c r="C1" s="476"/>
      <c r="E1" s="478"/>
      <c r="F1" s="478" t="s">
        <v>366</v>
      </c>
      <c r="H1" s="478"/>
      <c r="I1" s="478"/>
    </row>
    <row r="2" spans="1:12" ht="15.75" x14ac:dyDescent="0.25">
      <c r="A2" s="476"/>
      <c r="B2" s="476"/>
      <c r="C2" s="476"/>
      <c r="E2" s="478"/>
      <c r="F2" s="2153" t="s">
        <v>367</v>
      </c>
      <c r="G2" s="2153"/>
      <c r="H2" s="2153"/>
      <c r="I2" s="2153"/>
    </row>
    <row r="3" spans="1:12" ht="15.75" x14ac:dyDescent="0.25">
      <c r="A3" s="476"/>
      <c r="B3" s="476"/>
      <c r="C3" s="476"/>
      <c r="E3" s="478"/>
      <c r="F3" s="478" t="s">
        <v>368</v>
      </c>
      <c r="H3" s="478"/>
      <c r="I3" s="480"/>
    </row>
    <row r="4" spans="1:12" ht="15.75" x14ac:dyDescent="0.25">
      <c r="A4" s="476"/>
      <c r="B4" s="476"/>
      <c r="C4" s="476"/>
      <c r="E4" s="478"/>
      <c r="F4" s="478" t="s">
        <v>832</v>
      </c>
      <c r="H4" s="476"/>
      <c r="I4" s="476"/>
    </row>
    <row r="5" spans="1:12" ht="16.5" thickBot="1" x14ac:dyDescent="0.3">
      <c r="A5" s="2154" t="s">
        <v>824</v>
      </c>
      <c r="B5" s="2155"/>
      <c r="C5" s="2155"/>
      <c r="D5" s="2155"/>
      <c r="E5" s="2155"/>
      <c r="F5" s="2155"/>
      <c r="G5" s="2155"/>
      <c r="H5" s="2155"/>
      <c r="I5" s="2155"/>
    </row>
    <row r="6" spans="1:12" s="476" customFormat="1" ht="48" thickBot="1" x14ac:dyDescent="0.3">
      <c r="A6" s="481" t="s">
        <v>369</v>
      </c>
      <c r="B6" s="482" t="s">
        <v>370</v>
      </c>
      <c r="C6" s="482" t="s">
        <v>371</v>
      </c>
      <c r="D6" s="482" t="s">
        <v>372</v>
      </c>
      <c r="E6" s="482" t="s">
        <v>373</v>
      </c>
      <c r="F6" s="482" t="s">
        <v>371</v>
      </c>
      <c r="G6" s="482" t="s">
        <v>374</v>
      </c>
      <c r="H6" s="482" t="s">
        <v>375</v>
      </c>
      <c r="I6" s="483" t="s">
        <v>376</v>
      </c>
      <c r="J6" s="484"/>
    </row>
    <row r="7" spans="1:12" s="476" customFormat="1" ht="16.5" thickBot="1" x14ac:dyDescent="0.3">
      <c r="A7" s="2168" t="s">
        <v>406</v>
      </c>
      <c r="B7" s="2169"/>
      <c r="C7" s="2169"/>
      <c r="D7" s="2169"/>
      <c r="E7" s="2169"/>
      <c r="F7" s="2169"/>
      <c r="G7" s="2169"/>
      <c r="H7" s="2169"/>
      <c r="I7" s="2170"/>
      <c r="J7" s="484"/>
    </row>
    <row r="8" spans="1:12" s="494" customFormat="1" ht="15.75" x14ac:dyDescent="0.25">
      <c r="A8" s="2156">
        <v>1</v>
      </c>
      <c r="B8" s="2158" t="s">
        <v>377</v>
      </c>
      <c r="C8" s="2160" t="s">
        <v>378</v>
      </c>
      <c r="D8" s="2162">
        <f>G8/(100.4+25.2*0.5)</f>
        <v>1.9734513274336283</v>
      </c>
      <c r="E8" s="491" t="s">
        <v>379</v>
      </c>
      <c r="F8" s="492" t="s">
        <v>140</v>
      </c>
      <c r="G8" s="493">
        <v>223</v>
      </c>
      <c r="H8" s="2164">
        <f>I8/1.2</f>
        <v>38.245486725663717</v>
      </c>
      <c r="I8" s="2166">
        <f>25.84*1000*90%*D8/1000</f>
        <v>45.894584070796462</v>
      </c>
      <c r="J8" s="222"/>
    </row>
    <row r="9" spans="1:12" s="494" customFormat="1" ht="16.5" thickBot="1" x14ac:dyDescent="0.3">
      <c r="A9" s="2157"/>
      <c r="B9" s="2159"/>
      <c r="C9" s="2161"/>
      <c r="D9" s="2163"/>
      <c r="E9" s="495" t="s">
        <v>380</v>
      </c>
      <c r="F9" s="496" t="s">
        <v>140</v>
      </c>
      <c r="G9" s="744">
        <f>D8*0.4*1.03</f>
        <v>0.81306194690265499</v>
      </c>
      <c r="H9" s="2165"/>
      <c r="I9" s="2167"/>
      <c r="J9" s="222"/>
    </row>
    <row r="10" spans="1:12" s="494" customFormat="1" ht="15.75" x14ac:dyDescent="0.25">
      <c r="A10" s="2156">
        <v>2</v>
      </c>
      <c r="B10" s="2158" t="s">
        <v>381</v>
      </c>
      <c r="C10" s="2160" t="s">
        <v>382</v>
      </c>
      <c r="D10" s="2162">
        <v>9.1</v>
      </c>
      <c r="E10" s="491" t="s">
        <v>379</v>
      </c>
      <c r="F10" s="492" t="s">
        <v>140</v>
      </c>
      <c r="G10" s="493">
        <f>63.9/3.858*D10</f>
        <v>150.72317262830484</v>
      </c>
      <c r="H10" s="2164">
        <f>I10/1.2</f>
        <v>49.918050000000008</v>
      </c>
      <c r="I10" s="2166">
        <f>73.14*100*90%*D10/1000</f>
        <v>59.901660000000007</v>
      </c>
      <c r="J10" s="222"/>
    </row>
    <row r="11" spans="1:12" s="494" customFormat="1" ht="16.5" thickBot="1" x14ac:dyDescent="0.3">
      <c r="A11" s="2157"/>
      <c r="B11" s="2159"/>
      <c r="C11" s="2161"/>
      <c r="D11" s="2163"/>
      <c r="E11" s="495" t="s">
        <v>380</v>
      </c>
      <c r="F11" s="496" t="s">
        <v>140</v>
      </c>
      <c r="G11" s="744">
        <f>0.2619/3.858*D10</f>
        <v>0.61775272161741834</v>
      </c>
      <c r="H11" s="2165"/>
      <c r="I11" s="2167"/>
      <c r="J11" s="222"/>
    </row>
    <row r="12" spans="1:12" s="494" customFormat="1" ht="15.75" x14ac:dyDescent="0.25">
      <c r="A12" s="2156">
        <v>3</v>
      </c>
      <c r="B12" s="2158" t="s">
        <v>383</v>
      </c>
      <c r="C12" s="492" t="s">
        <v>384</v>
      </c>
      <c r="D12" s="493">
        <f>G12*1.41+G13</f>
        <v>175.40314322469976</v>
      </c>
      <c r="E12" s="491" t="s">
        <v>385</v>
      </c>
      <c r="F12" s="492" t="s">
        <v>280</v>
      </c>
      <c r="G12" s="633">
        <f>69*3/1.35-G14</f>
        <v>112.32990280160089</v>
      </c>
      <c r="H12" s="2164">
        <f>I12/1.2</f>
        <v>60.519056662630746</v>
      </c>
      <c r="I12" s="2166">
        <f>59.09*90%*D13/1000</f>
        <v>72.622867995156895</v>
      </c>
      <c r="J12" s="2171" t="s">
        <v>833</v>
      </c>
      <c r="K12" s="222"/>
    </row>
    <row r="13" spans="1:12" s="494" customFormat="1" ht="16.5" thickBot="1" x14ac:dyDescent="0.3">
      <c r="A13" s="2157"/>
      <c r="B13" s="2159"/>
      <c r="C13" s="732" t="s">
        <v>326</v>
      </c>
      <c r="D13" s="498">
        <f>1364/112.2*G12</f>
        <v>1365.5792105292658</v>
      </c>
      <c r="E13" s="495" t="s">
        <v>380</v>
      </c>
      <c r="F13" s="496" t="s">
        <v>140</v>
      </c>
      <c r="G13" s="499">
        <f>7.575/50*G12</f>
        <v>17.017980274442536</v>
      </c>
      <c r="H13" s="2165"/>
      <c r="I13" s="2167"/>
      <c r="J13" s="2171"/>
      <c r="K13" s="751">
        <f>D13/62/2</f>
        <v>11.012735568784402</v>
      </c>
      <c r="L13" s="557" t="s">
        <v>408</v>
      </c>
    </row>
    <row r="14" spans="1:12" s="494" customFormat="1" ht="15.75" x14ac:dyDescent="0.25">
      <c r="A14" s="2156">
        <v>4</v>
      </c>
      <c r="B14" s="2158" t="s">
        <v>450</v>
      </c>
      <c r="C14" s="2160" t="s">
        <v>326</v>
      </c>
      <c r="D14" s="2180">
        <v>560</v>
      </c>
      <c r="E14" s="491" t="s">
        <v>385</v>
      </c>
      <c r="F14" s="492" t="s">
        <v>280</v>
      </c>
      <c r="G14" s="633">
        <f>6.83/93.28*D14</f>
        <v>41.00343053173242</v>
      </c>
      <c r="H14" s="2164">
        <f>I14/1.2</f>
        <v>20.1768</v>
      </c>
      <c r="I14" s="2166">
        <f>48.04*90%*D14/1000</f>
        <v>24.212160000000001</v>
      </c>
      <c r="J14" s="2171"/>
      <c r="K14" s="222"/>
    </row>
    <row r="15" spans="1:12" s="494" customFormat="1" ht="15.75" x14ac:dyDescent="0.25">
      <c r="A15" s="2176"/>
      <c r="B15" s="2175"/>
      <c r="C15" s="2179"/>
      <c r="D15" s="2181"/>
      <c r="E15" s="743" t="s">
        <v>193</v>
      </c>
      <c r="F15" s="547" t="s">
        <v>280</v>
      </c>
      <c r="G15" s="627">
        <f>0.7462/93.28*D14</f>
        <v>4.4797598627787307</v>
      </c>
      <c r="H15" s="2177"/>
      <c r="I15" s="2178"/>
      <c r="J15" s="2171"/>
      <c r="K15" s="222"/>
    </row>
    <row r="16" spans="1:12" s="494" customFormat="1" ht="16.5" thickBot="1" x14ac:dyDescent="0.3">
      <c r="A16" s="2157"/>
      <c r="B16" s="2159"/>
      <c r="C16" s="2161"/>
      <c r="D16" s="2182"/>
      <c r="E16" s="495" t="s">
        <v>380</v>
      </c>
      <c r="F16" s="496" t="s">
        <v>140</v>
      </c>
      <c r="G16" s="801">
        <f>1.1061/93.28*D14</f>
        <v>6.6403945111492293</v>
      </c>
      <c r="H16" s="2165"/>
      <c r="I16" s="2167"/>
      <c r="J16" s="2171"/>
    </row>
    <row r="17" spans="1:11" s="476" customFormat="1" ht="15.75" x14ac:dyDescent="0.25">
      <c r="A17" s="2172">
        <v>3</v>
      </c>
      <c r="B17" s="2158" t="s">
        <v>387</v>
      </c>
      <c r="C17" s="492" t="s">
        <v>382</v>
      </c>
      <c r="D17" s="500">
        <f>G17/1.27/0.1/100</f>
        <v>7.8740157480314963</v>
      </c>
      <c r="E17" s="491" t="s">
        <v>449</v>
      </c>
      <c r="F17" s="492" t="s">
        <v>280</v>
      </c>
      <c r="G17" s="621">
        <v>100</v>
      </c>
      <c r="H17" s="501">
        <f t="shared" ref="H17:H25" si="0">I17/1.2</f>
        <v>8.9905511811023633</v>
      </c>
      <c r="I17" s="502">
        <f>13.84*1.1*100*90%*D17/1000</f>
        <v>10.788661417322835</v>
      </c>
      <c r="J17" s="556"/>
      <c r="K17" s="557"/>
    </row>
    <row r="18" spans="1:11" s="476" customFormat="1" ht="15.75" x14ac:dyDescent="0.25">
      <c r="A18" s="2173"/>
      <c r="B18" s="2175"/>
      <c r="C18" s="547" t="s">
        <v>382</v>
      </c>
      <c r="D18" s="548">
        <f>G18/1.27/0.08/100</f>
        <v>4.7826328047022288</v>
      </c>
      <c r="E18" s="518" t="s">
        <v>389</v>
      </c>
      <c r="F18" s="519" t="s">
        <v>280</v>
      </c>
      <c r="G18" s="749">
        <f>69/1.42</f>
        <v>48.591549295774648</v>
      </c>
      <c r="H18" s="745">
        <f>I18/1.2</f>
        <v>4.4507180880558943</v>
      </c>
      <c r="I18" s="746">
        <f>11.28*1.1*100*90%*D18/1000</f>
        <v>5.3408617056670726</v>
      </c>
      <c r="J18" s="556"/>
      <c r="K18" s="557"/>
    </row>
    <row r="19" spans="1:11" s="494" customFormat="1" ht="15.75" x14ac:dyDescent="0.25">
      <c r="A19" s="2173"/>
      <c r="B19" s="2175"/>
      <c r="C19" s="2183" t="s">
        <v>382</v>
      </c>
      <c r="D19" s="2184">
        <f>G19/1.27/20%/0.1/100</f>
        <v>19.685039370078744</v>
      </c>
      <c r="E19" s="748" t="s">
        <v>449</v>
      </c>
      <c r="F19" s="467" t="s">
        <v>280</v>
      </c>
      <c r="G19" s="747">
        <f>69/1.38</f>
        <v>50.000000000000007</v>
      </c>
      <c r="H19" s="2186">
        <f>I19/1.2</f>
        <v>17.100885826771659</v>
      </c>
      <c r="I19" s="2191">
        <f>10.53*1.1*100*90%*D19/1000</f>
        <v>20.521062992125991</v>
      </c>
      <c r="J19" s="750"/>
      <c r="K19" s="751"/>
    </row>
    <row r="20" spans="1:11" s="494" customFormat="1" ht="16.5" thickBot="1" x14ac:dyDescent="0.3">
      <c r="A20" s="2174"/>
      <c r="B20" s="2159"/>
      <c r="C20" s="2161"/>
      <c r="D20" s="2185"/>
      <c r="E20" s="731" t="s">
        <v>193</v>
      </c>
      <c r="F20" s="732" t="s">
        <v>280</v>
      </c>
      <c r="G20" s="733">
        <f>G19*1.38/20%*80%/1.53</f>
        <v>180.39215686274508</v>
      </c>
      <c r="H20" s="2165"/>
      <c r="I20" s="2167"/>
      <c r="J20" s="520"/>
    </row>
    <row r="21" spans="1:11" s="476" customFormat="1" ht="15.75" x14ac:dyDescent="0.25">
      <c r="A21" s="2172">
        <v>4</v>
      </c>
      <c r="B21" s="2158" t="s">
        <v>390</v>
      </c>
      <c r="C21" s="486" t="s">
        <v>378</v>
      </c>
      <c r="D21" s="506">
        <f>(12.118+1.21)*14*5</f>
        <v>932.95999999999992</v>
      </c>
      <c r="E21" s="485" t="s">
        <v>391</v>
      </c>
      <c r="F21" s="486" t="s">
        <v>392</v>
      </c>
      <c r="G21" s="507">
        <f>0.03*D21</f>
        <v>27.988799999999998</v>
      </c>
      <c r="H21" s="508">
        <f t="shared" si="0"/>
        <v>1.8976406399999999</v>
      </c>
      <c r="I21" s="502">
        <f>2.26*1.08/1000*D21</f>
        <v>2.2771687679999997</v>
      </c>
      <c r="J21" s="503"/>
    </row>
    <row r="22" spans="1:11" s="476" customFormat="1" ht="16.5" thickBot="1" x14ac:dyDescent="0.3">
      <c r="A22" s="2174"/>
      <c r="B22" s="2159"/>
      <c r="C22" s="489" t="s">
        <v>378</v>
      </c>
      <c r="D22" s="509">
        <f>(444.856)*6*2+(19.247+186.584)*6*1</f>
        <v>6573.2579999999998</v>
      </c>
      <c r="E22" s="488" t="s">
        <v>393</v>
      </c>
      <c r="F22" s="497" t="s">
        <v>392</v>
      </c>
      <c r="G22" s="510">
        <f>0.06*D22</f>
        <v>394.39547999999996</v>
      </c>
      <c r="H22" s="504">
        <f t="shared" si="0"/>
        <v>18.043593210000001</v>
      </c>
      <c r="I22" s="505">
        <f>3.05*1.08/1000*D22</f>
        <v>21.652311852</v>
      </c>
      <c r="J22" s="503"/>
    </row>
    <row r="23" spans="1:11" s="476" customFormat="1" ht="43.5" hidden="1" customHeight="1" thickBot="1" x14ac:dyDescent="0.3">
      <c r="A23" s="511">
        <v>5</v>
      </c>
      <c r="B23" s="558" t="s">
        <v>409</v>
      </c>
      <c r="C23" s="513"/>
      <c r="D23" s="514"/>
      <c r="E23" s="512"/>
      <c r="F23" s="513"/>
      <c r="G23" s="515"/>
      <c r="H23" s="516">
        <f t="shared" si="0"/>
        <v>0</v>
      </c>
      <c r="I23" s="517">
        <f>(((9799+4202.07)/1000+(255.28+2006.55)/1000+966.41/1000)/4)*0</f>
        <v>0</v>
      </c>
      <c r="J23" s="503"/>
    </row>
    <row r="24" spans="1:11" s="494" customFormat="1" ht="18.75" hidden="1" x14ac:dyDescent="0.25">
      <c r="A24" s="1184">
        <v>6</v>
      </c>
      <c r="B24" s="491" t="s">
        <v>394</v>
      </c>
      <c r="C24" s="492" t="s">
        <v>332</v>
      </c>
      <c r="D24" s="500">
        <f>(647+538)/2*0</f>
        <v>0</v>
      </c>
      <c r="E24" s="491"/>
      <c r="F24" s="492"/>
      <c r="G24" s="1185"/>
      <c r="H24" s="501">
        <f t="shared" si="0"/>
        <v>0</v>
      </c>
      <c r="I24" s="502">
        <f>(19558.97/1000+11240.04/1000)/1185*D24</f>
        <v>0</v>
      </c>
      <c r="J24" s="520"/>
    </row>
    <row r="25" spans="1:11" s="476" customFormat="1" ht="19.5" hidden="1" thickBot="1" x14ac:dyDescent="0.3">
      <c r="A25" s="1186">
        <v>7</v>
      </c>
      <c r="B25" s="1187" t="s">
        <v>395</v>
      </c>
      <c r="C25" s="1188" t="s">
        <v>396</v>
      </c>
      <c r="D25" s="1189">
        <v>0</v>
      </c>
      <c r="E25" s="467"/>
      <c r="F25" s="467"/>
      <c r="G25" s="1190"/>
      <c r="H25" s="1191">
        <f t="shared" si="0"/>
        <v>0</v>
      </c>
      <c r="I25" s="1192">
        <f>25176/534*D25/1000</f>
        <v>0</v>
      </c>
      <c r="J25" s="484"/>
    </row>
    <row r="26" spans="1:11" s="527" customFormat="1" ht="20.25" thickBot="1" x14ac:dyDescent="0.35">
      <c r="A26" s="2187" t="s">
        <v>825</v>
      </c>
      <c r="B26" s="2188"/>
      <c r="C26" s="521"/>
      <c r="D26" s="521"/>
      <c r="E26" s="522"/>
      <c r="F26" s="521"/>
      <c r="G26" s="523"/>
      <c r="H26" s="524">
        <f>SUM(H8:H25)</f>
        <v>219.34278233422447</v>
      </c>
      <c r="I26" s="525">
        <f>SUM(I8:I25)</f>
        <v>263.21133880106925</v>
      </c>
      <c r="J26" s="526">
        <v>30</v>
      </c>
    </row>
    <row r="27" spans="1:11" s="1425" customFormat="1" ht="7.5" x14ac:dyDescent="0.15">
      <c r="A27" s="1674"/>
      <c r="B27" s="1674"/>
      <c r="C27" s="1675"/>
      <c r="D27" s="1675"/>
      <c r="E27" s="1676"/>
      <c r="F27" s="1675"/>
      <c r="G27" s="1677"/>
      <c r="H27" s="1678"/>
      <c r="I27" s="1678"/>
      <c r="J27" s="1679"/>
    </row>
    <row r="28" spans="1:11" s="476" customFormat="1" ht="19.5" hidden="1" thickBot="1" x14ac:dyDescent="0.3">
      <c r="A28" s="875">
        <v>4</v>
      </c>
      <c r="B28" s="482" t="s">
        <v>827</v>
      </c>
      <c r="C28" s="876"/>
      <c r="D28" s="877"/>
      <c r="E28" s="513"/>
      <c r="F28" s="513"/>
      <c r="G28" s="515"/>
      <c r="H28" s="1193">
        <f t="shared" ref="H28" si="1">I28/1.2</f>
        <v>0</v>
      </c>
      <c r="I28" s="1194">
        <f>46*0</f>
        <v>0</v>
      </c>
      <c r="J28" s="484"/>
    </row>
    <row r="29" spans="1:11" s="476" customFormat="1" ht="19.5" hidden="1" thickBot="1" x14ac:dyDescent="0.3">
      <c r="A29" s="875">
        <v>10</v>
      </c>
      <c r="B29" s="482" t="s">
        <v>572</v>
      </c>
      <c r="C29" s="876"/>
      <c r="D29" s="877"/>
      <c r="E29" s="513"/>
      <c r="F29" s="513"/>
      <c r="G29" s="515"/>
      <c r="H29" s="1193">
        <f t="shared" ref="H29" si="2">I29/1.2</f>
        <v>0</v>
      </c>
      <c r="I29" s="1194"/>
      <c r="J29" s="484"/>
    </row>
    <row r="30" spans="1:11" s="1425" customFormat="1" ht="8.25" hidden="1" thickBot="1" x14ac:dyDescent="0.2">
      <c r="A30" s="1674"/>
      <c r="B30" s="1674"/>
      <c r="C30" s="1675"/>
      <c r="D30" s="1675"/>
      <c r="E30" s="1676"/>
      <c r="F30" s="1675"/>
      <c r="G30" s="1677"/>
      <c r="H30" s="1678"/>
      <c r="I30" s="1678"/>
      <c r="J30" s="1679"/>
    </row>
    <row r="31" spans="1:11" s="527" customFormat="1" ht="20.25" hidden="1" thickBot="1" x14ac:dyDescent="0.35">
      <c r="A31" s="2187" t="s">
        <v>826</v>
      </c>
      <c r="B31" s="2188"/>
      <c r="C31" s="521"/>
      <c r="D31" s="521"/>
      <c r="E31" s="522"/>
      <c r="F31" s="521"/>
      <c r="G31" s="523"/>
      <c r="H31" s="524">
        <f>H29+H28+H26</f>
        <v>219.34278233422447</v>
      </c>
      <c r="I31" s="525">
        <f>I29+I28+I26</f>
        <v>263.21133880106925</v>
      </c>
      <c r="J31" s="526" t="e">
        <f>'ГОДОВОЙ ГРАФИК'!#REF!</f>
        <v>#REF!</v>
      </c>
    </row>
    <row r="32" spans="1:11" s="527" customFormat="1" ht="20.25" hidden="1" thickBot="1" x14ac:dyDescent="0.35">
      <c r="A32" s="543"/>
      <c r="B32" s="543" t="s">
        <v>510</v>
      </c>
      <c r="C32" s="2189" t="e">
        <f>'ГОДОВОЙ ГРАФИК'!#REF!</f>
        <v>#REF!</v>
      </c>
      <c r="D32" s="2190"/>
      <c r="E32" s="879" t="s">
        <v>511</v>
      </c>
      <c r="F32" s="544"/>
      <c r="G32" s="545"/>
      <c r="H32" s="546"/>
      <c r="I32" s="546"/>
      <c r="J32" s="526"/>
    </row>
    <row r="33" spans="1:11" s="476" customFormat="1" ht="16.5" hidden="1" thickBot="1" x14ac:dyDescent="0.3">
      <c r="A33" s="2168" t="s">
        <v>405</v>
      </c>
      <c r="B33" s="2169"/>
      <c r="C33" s="2169"/>
      <c r="D33" s="2169"/>
      <c r="E33" s="2169"/>
      <c r="F33" s="2169"/>
      <c r="G33" s="2169"/>
      <c r="H33" s="2169"/>
      <c r="I33" s="2170"/>
      <c r="J33" s="484"/>
    </row>
    <row r="34" spans="1:11" s="476" customFormat="1" ht="15.75" hidden="1" x14ac:dyDescent="0.25">
      <c r="A34" s="2172">
        <v>1</v>
      </c>
      <c r="B34" s="2158" t="s">
        <v>377</v>
      </c>
      <c r="C34" s="2193" t="s">
        <v>378</v>
      </c>
      <c r="D34" s="2195">
        <f>G34/(100.4+25.2*2)</f>
        <v>0</v>
      </c>
      <c r="E34" s="485" t="s">
        <v>379</v>
      </c>
      <c r="F34" s="486" t="s">
        <v>140</v>
      </c>
      <c r="G34" s="487"/>
      <c r="H34" s="2197">
        <f>I34/1.2</f>
        <v>0</v>
      </c>
      <c r="I34" s="2199">
        <f>25966.78/1000*D34</f>
        <v>0</v>
      </c>
      <c r="J34" s="484"/>
    </row>
    <row r="35" spans="1:11" s="476" customFormat="1" ht="16.5" hidden="1" thickBot="1" x14ac:dyDescent="0.3">
      <c r="A35" s="2174"/>
      <c r="B35" s="2159"/>
      <c r="C35" s="2194"/>
      <c r="D35" s="2196"/>
      <c r="E35" s="488" t="s">
        <v>380</v>
      </c>
      <c r="F35" s="489" t="s">
        <v>140</v>
      </c>
      <c r="G35" s="490">
        <f>D34*0.4*1.03</f>
        <v>0</v>
      </c>
      <c r="H35" s="2198"/>
      <c r="I35" s="2200"/>
      <c r="J35" s="484"/>
    </row>
    <row r="36" spans="1:11" s="494" customFormat="1" ht="15.75" hidden="1" x14ac:dyDescent="0.25">
      <c r="A36" s="2156">
        <v>2</v>
      </c>
      <c r="B36" s="2158" t="s">
        <v>381</v>
      </c>
      <c r="C36" s="2160" t="s">
        <v>382</v>
      </c>
      <c r="D36" s="2162">
        <f>G36/(100.4+25.2*3)*10</f>
        <v>0</v>
      </c>
      <c r="E36" s="491" t="s">
        <v>379</v>
      </c>
      <c r="F36" s="492" t="s">
        <v>140</v>
      </c>
      <c r="G36" s="493">
        <v>0</v>
      </c>
      <c r="H36" s="2164">
        <f>I36/1.2</f>
        <v>0</v>
      </c>
      <c r="I36" s="2166">
        <f>6489.9/1000*D36</f>
        <v>0</v>
      </c>
      <c r="J36" s="222"/>
    </row>
    <row r="37" spans="1:11" s="494" customFormat="1" ht="16.5" hidden="1" thickBot="1" x14ac:dyDescent="0.3">
      <c r="A37" s="2157"/>
      <c r="B37" s="2159"/>
      <c r="C37" s="2161"/>
      <c r="D37" s="2163"/>
      <c r="E37" s="495" t="s">
        <v>380</v>
      </c>
      <c r="F37" s="496" t="s">
        <v>140</v>
      </c>
      <c r="G37" s="744">
        <f>D36/10*0.4*1.03</f>
        <v>0</v>
      </c>
      <c r="H37" s="2165"/>
      <c r="I37" s="2167"/>
      <c r="J37" s="222"/>
    </row>
    <row r="38" spans="1:11" s="494" customFormat="1" ht="15.75" hidden="1" x14ac:dyDescent="0.25">
      <c r="A38" s="2156">
        <v>3</v>
      </c>
      <c r="B38" s="2158" t="s">
        <v>383</v>
      </c>
      <c r="C38" s="492" t="s">
        <v>384</v>
      </c>
      <c r="D38" s="493">
        <f>G38*1.41+G39</f>
        <v>0</v>
      </c>
      <c r="E38" s="491" t="s">
        <v>385</v>
      </c>
      <c r="F38" s="492" t="s">
        <v>280</v>
      </c>
      <c r="G38" s="633">
        <v>0</v>
      </c>
      <c r="H38" s="2164">
        <f>I38/1.2</f>
        <v>0</v>
      </c>
      <c r="I38" s="2166">
        <f>412.97*D38/1000</f>
        <v>0</v>
      </c>
      <c r="J38" s="763" t="s">
        <v>386</v>
      </c>
      <c r="K38" s="222"/>
    </row>
    <row r="39" spans="1:11" s="494" customFormat="1" ht="16.5" hidden="1" thickBot="1" x14ac:dyDescent="0.3">
      <c r="A39" s="2157"/>
      <c r="B39" s="2159"/>
      <c r="C39" s="753" t="s">
        <v>326</v>
      </c>
      <c r="D39" s="498">
        <f>1364/112.2*G38</f>
        <v>0</v>
      </c>
      <c r="E39" s="495" t="s">
        <v>380</v>
      </c>
      <c r="F39" s="496" t="s">
        <v>140</v>
      </c>
      <c r="G39" s="499">
        <f>7.575/50*G38</f>
        <v>0</v>
      </c>
      <c r="H39" s="2165"/>
      <c r="I39" s="2167"/>
      <c r="J39" s="750">
        <f>D39/62</f>
        <v>0</v>
      </c>
      <c r="K39" s="751" t="s">
        <v>408</v>
      </c>
    </row>
    <row r="40" spans="1:11" s="476" customFormat="1" ht="15.75" hidden="1" x14ac:dyDescent="0.25">
      <c r="A40" s="2172">
        <v>4</v>
      </c>
      <c r="B40" s="2158" t="s">
        <v>387</v>
      </c>
      <c r="C40" s="736" t="s">
        <v>382</v>
      </c>
      <c r="D40" s="738">
        <f>G40/1.27/0.1/100</f>
        <v>0</v>
      </c>
      <c r="E40" s="735" t="s">
        <v>388</v>
      </c>
      <c r="F40" s="736" t="s">
        <v>280</v>
      </c>
      <c r="G40" s="752"/>
      <c r="H40" s="739">
        <f>I40/1.2</f>
        <v>0</v>
      </c>
      <c r="I40" s="740">
        <f>1391.58/1000*D40</f>
        <v>0</v>
      </c>
      <c r="J40" s="556">
        <f>D39/62</f>
        <v>0</v>
      </c>
      <c r="K40" s="557" t="s">
        <v>408</v>
      </c>
    </row>
    <row r="41" spans="1:11" s="494" customFormat="1" ht="20.25" hidden="1" customHeight="1" thickBot="1" x14ac:dyDescent="0.3">
      <c r="A41" s="2174"/>
      <c r="B41" s="2159"/>
      <c r="C41" s="734" t="s">
        <v>382</v>
      </c>
      <c r="D41" s="741">
        <f>G41/1.27/0.1/100</f>
        <v>0</v>
      </c>
      <c r="E41" s="737" t="s">
        <v>389</v>
      </c>
      <c r="F41" s="755" t="s">
        <v>280</v>
      </c>
      <c r="G41" s="756">
        <v>0</v>
      </c>
      <c r="H41" s="742">
        <f>I41/1.2</f>
        <v>0</v>
      </c>
      <c r="I41" s="757">
        <f>1053.37/1000*D41</f>
        <v>0</v>
      </c>
      <c r="J41" s="754"/>
    </row>
    <row r="42" spans="1:11" s="476" customFormat="1" ht="15.75" hidden="1" x14ac:dyDescent="0.25">
      <c r="A42" s="2172">
        <v>5</v>
      </c>
      <c r="B42" s="2158" t="s">
        <v>390</v>
      </c>
      <c r="C42" s="486" t="s">
        <v>378</v>
      </c>
      <c r="D42" s="506"/>
      <c r="E42" s="485" t="s">
        <v>391</v>
      </c>
      <c r="F42" s="486" t="s">
        <v>392</v>
      </c>
      <c r="G42" s="507">
        <f>0.03*D42</f>
        <v>0</v>
      </c>
      <c r="H42" s="1155">
        <f t="shared" ref="H42:H43" si="3">I42/1.2</f>
        <v>0</v>
      </c>
      <c r="I42" s="502">
        <f>2.26/1000*D42</f>
        <v>0</v>
      </c>
      <c r="J42" s="503"/>
    </row>
    <row r="43" spans="1:11" s="476" customFormat="1" ht="16.5" hidden="1" thickBot="1" x14ac:dyDescent="0.3">
      <c r="A43" s="2174"/>
      <c r="B43" s="2159"/>
      <c r="C43" s="489" t="s">
        <v>378</v>
      </c>
      <c r="D43" s="509">
        <f>((128.56)*6*4+(146.491)*4.5*3.11)*0</f>
        <v>0</v>
      </c>
      <c r="E43" s="488" t="s">
        <v>393</v>
      </c>
      <c r="F43" s="1156" t="s">
        <v>392</v>
      </c>
      <c r="G43" s="510">
        <f>0.06*D43</f>
        <v>0</v>
      </c>
      <c r="H43" s="504">
        <f t="shared" si="3"/>
        <v>0</v>
      </c>
      <c r="I43" s="1157">
        <f>3.05/1000*D43</f>
        <v>0</v>
      </c>
      <c r="J43" s="503"/>
    </row>
    <row r="44" spans="1:11" s="527" customFormat="1" ht="20.25" hidden="1" thickBot="1" x14ac:dyDescent="0.35">
      <c r="A44" s="2187" t="s">
        <v>619</v>
      </c>
      <c r="B44" s="2188"/>
      <c r="C44" s="521"/>
      <c r="D44" s="521"/>
      <c r="E44" s="522"/>
      <c r="F44" s="521"/>
      <c r="G44" s="523"/>
      <c r="H44" s="524">
        <f>SUM(H41:H43)</f>
        <v>0</v>
      </c>
      <c r="I44" s="525">
        <f>SUM(I41:I43)</f>
        <v>0</v>
      </c>
      <c r="J44" s="526"/>
    </row>
    <row r="45" spans="1:11" x14ac:dyDescent="0.2">
      <c r="C45" s="878"/>
      <c r="D45" s="878"/>
      <c r="I45" s="528"/>
    </row>
    <row r="46" spans="1:11" ht="15.75" x14ac:dyDescent="0.25">
      <c r="A46" s="2192" t="s">
        <v>397</v>
      </c>
      <c r="B46" s="2192"/>
      <c r="C46" s="476"/>
      <c r="D46" s="476"/>
      <c r="E46" s="476" t="s">
        <v>398</v>
      </c>
      <c r="F46" s="476"/>
      <c r="G46" s="476"/>
      <c r="H46" s="529"/>
      <c r="I46" s="529"/>
    </row>
    <row r="47" spans="1:11" ht="15.75" x14ac:dyDescent="0.2">
      <c r="H47" s="530"/>
    </row>
    <row r="48" spans="1:11" x14ac:dyDescent="0.2">
      <c r="I48" s="477">
        <f>205+29</f>
        <v>234</v>
      </c>
    </row>
    <row r="49" spans="7:7" x14ac:dyDescent="0.2">
      <c r="G49" s="542"/>
    </row>
  </sheetData>
  <mergeCells count="61">
    <mergeCell ref="D36:D37"/>
    <mergeCell ref="H36:H37"/>
    <mergeCell ref="A33:I33"/>
    <mergeCell ref="A34:A35"/>
    <mergeCell ref="B34:B35"/>
    <mergeCell ref="C34:C35"/>
    <mergeCell ref="D34:D35"/>
    <mergeCell ref="H34:H35"/>
    <mergeCell ref="I34:I35"/>
    <mergeCell ref="I36:I37"/>
    <mergeCell ref="A46:B46"/>
    <mergeCell ref="A36:A37"/>
    <mergeCell ref="B36:B37"/>
    <mergeCell ref="C36:C37"/>
    <mergeCell ref="A40:A41"/>
    <mergeCell ref="B40:B41"/>
    <mergeCell ref="A44:B44"/>
    <mergeCell ref="A38:A39"/>
    <mergeCell ref="B38:B39"/>
    <mergeCell ref="A42:A43"/>
    <mergeCell ref="B42:B43"/>
    <mergeCell ref="H12:H13"/>
    <mergeCell ref="I12:I13"/>
    <mergeCell ref="A31:B31"/>
    <mergeCell ref="C32:D32"/>
    <mergeCell ref="I10:I11"/>
    <mergeCell ref="A10:A11"/>
    <mergeCell ref="B10:B11"/>
    <mergeCell ref="C10:C11"/>
    <mergeCell ref="D10:D11"/>
    <mergeCell ref="H10:H11"/>
    <mergeCell ref="B12:B13"/>
    <mergeCell ref="I19:I20"/>
    <mergeCell ref="A21:A22"/>
    <mergeCell ref="B21:B22"/>
    <mergeCell ref="A26:B26"/>
    <mergeCell ref="H38:H39"/>
    <mergeCell ref="I38:I39"/>
    <mergeCell ref="J12:J13"/>
    <mergeCell ref="A17:A20"/>
    <mergeCell ref="B17:B20"/>
    <mergeCell ref="A14:A16"/>
    <mergeCell ref="B14:B16"/>
    <mergeCell ref="H14:H16"/>
    <mergeCell ref="I14:I16"/>
    <mergeCell ref="J14:J16"/>
    <mergeCell ref="C14:C16"/>
    <mergeCell ref="D14:D16"/>
    <mergeCell ref="C19:C20"/>
    <mergeCell ref="D19:D20"/>
    <mergeCell ref="H19:H20"/>
    <mergeCell ref="A12:A13"/>
    <mergeCell ref="F2:I2"/>
    <mergeCell ref="A5:I5"/>
    <mergeCell ref="A8:A9"/>
    <mergeCell ref="B8:B9"/>
    <mergeCell ref="C8:C9"/>
    <mergeCell ref="D8:D9"/>
    <mergeCell ref="H8:H9"/>
    <mergeCell ref="I8:I9"/>
    <mergeCell ref="A7:I7"/>
  </mergeCells>
  <pageMargins left="0.31496062992125984" right="0.31496062992125984" top="0.59055118110236227" bottom="0.31496062992125984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topLeftCell="A4" workbookViewId="0">
      <selection activeCell="L18" sqref="L18"/>
    </sheetView>
  </sheetViews>
  <sheetFormatPr defaultColWidth="9.140625" defaultRowHeight="15.75" x14ac:dyDescent="0.2"/>
  <cols>
    <col min="1" max="1" width="4.140625" style="758" bestFit="1" customWidth="1"/>
    <col min="2" max="2" width="21.140625" style="229" bestFit="1" customWidth="1"/>
    <col min="3" max="3" width="11.85546875" style="229" customWidth="1"/>
    <col min="4" max="4" width="13.5703125" style="229" bestFit="1" customWidth="1"/>
    <col min="5" max="5" width="8.85546875" style="229" bestFit="1" customWidth="1"/>
    <col min="6" max="6" width="10.28515625" style="229" bestFit="1" customWidth="1"/>
    <col min="7" max="8" width="13.85546875" style="229" customWidth="1"/>
    <col min="9" max="16384" width="9.140625" style="229"/>
  </cols>
  <sheetData>
    <row r="1" spans="1:8" ht="20.25" x14ac:dyDescent="0.2">
      <c r="A1" s="2202" t="s">
        <v>466</v>
      </c>
      <c r="B1" s="2202"/>
      <c r="C1" s="2202"/>
      <c r="D1" s="2202"/>
      <c r="E1" s="2202"/>
      <c r="F1" s="2202"/>
      <c r="G1" s="2202"/>
      <c r="H1" s="2202"/>
    </row>
    <row r="2" spans="1:8" ht="20.25" x14ac:dyDescent="0.2">
      <c r="A2" s="2202" t="s">
        <v>455</v>
      </c>
      <c r="B2" s="2202"/>
      <c r="C2" s="2202"/>
      <c r="D2" s="2202"/>
      <c r="E2" s="2202"/>
      <c r="F2" s="2202"/>
      <c r="G2" s="2202"/>
      <c r="H2" s="2202"/>
    </row>
    <row r="3" spans="1:8" ht="20.25" x14ac:dyDescent="0.2">
      <c r="A3" s="2202" t="s">
        <v>365</v>
      </c>
      <c r="B3" s="2202"/>
      <c r="C3" s="2202"/>
      <c r="D3" s="2202"/>
      <c r="E3" s="2202"/>
      <c r="F3" s="2202"/>
      <c r="G3" s="2202"/>
      <c r="H3" s="2202"/>
    </row>
    <row r="4" spans="1:8" ht="20.25" x14ac:dyDescent="0.2">
      <c r="A4" s="2203" t="s">
        <v>456</v>
      </c>
      <c r="B4" s="2203"/>
      <c r="C4" s="2203"/>
      <c r="D4" s="2203"/>
      <c r="E4" s="2203"/>
      <c r="F4" s="2203"/>
      <c r="G4" s="2203"/>
      <c r="H4" s="2203"/>
    </row>
    <row r="6" spans="1:8" s="533" customFormat="1" ht="78.75" x14ac:dyDescent="0.2">
      <c r="A6" s="534" t="s">
        <v>271</v>
      </c>
      <c r="B6" s="534" t="s">
        <v>467</v>
      </c>
      <c r="C6" s="534" t="s">
        <v>474</v>
      </c>
      <c r="D6" s="534" t="s">
        <v>468</v>
      </c>
      <c r="E6" s="534" t="s">
        <v>469</v>
      </c>
      <c r="F6" s="534" t="s">
        <v>470</v>
      </c>
      <c r="G6" s="534" t="s">
        <v>472</v>
      </c>
      <c r="H6" s="534" t="s">
        <v>471</v>
      </c>
    </row>
    <row r="7" spans="1:8" ht="78.75" x14ac:dyDescent="0.2">
      <c r="A7" s="536">
        <v>1</v>
      </c>
      <c r="B7" s="787" t="s">
        <v>475</v>
      </c>
      <c r="C7" s="814">
        <v>3236.2280000000001</v>
      </c>
      <c r="D7" s="788">
        <f>'[2]ОСНОВНЫЕ ОБЪЁМЫ'!$DO$143+'[2]ОСНОВНЫЕ ОБЪЁМЫ'!$DR$143+'[2]ОСНОВНЫЕ ОБЪЁМЫ'!$DQ$143+'[2]ОСНОВНЫЕ ОБЪЁМЫ'!$DP$143</f>
        <v>283.34455943232001</v>
      </c>
      <c r="E7" s="789">
        <v>30</v>
      </c>
      <c r="F7" s="789">
        <f>E7*9</f>
        <v>270</v>
      </c>
      <c r="G7" s="788">
        <f>D7/F7</f>
        <v>1.0494242941937779</v>
      </c>
      <c r="H7" s="789">
        <v>1</v>
      </c>
    </row>
    <row r="8" spans="1:8" ht="51.75" customHeight="1" x14ac:dyDescent="0.2">
      <c r="A8" s="553">
        <v>2</v>
      </c>
      <c r="B8" s="792" t="s">
        <v>473</v>
      </c>
      <c r="C8" s="794"/>
      <c r="D8" s="813"/>
      <c r="E8" s="790"/>
      <c r="F8" s="789"/>
      <c r="G8" s="791"/>
      <c r="H8" s="790">
        <v>1</v>
      </c>
    </row>
    <row r="9" spans="1:8" ht="51" customHeight="1" x14ac:dyDescent="0.2">
      <c r="A9" s="553">
        <v>3</v>
      </c>
      <c r="B9" s="792" t="s">
        <v>482</v>
      </c>
      <c r="C9" s="859">
        <v>14470.71</v>
      </c>
      <c r="D9" s="813"/>
      <c r="E9" s="790"/>
      <c r="F9" s="789"/>
      <c r="G9" s="791"/>
      <c r="H9" s="790">
        <v>1</v>
      </c>
    </row>
    <row r="10" spans="1:8" ht="31.5" customHeight="1" x14ac:dyDescent="0.2">
      <c r="A10" s="553">
        <v>4</v>
      </c>
      <c r="B10" s="554" t="s">
        <v>464</v>
      </c>
      <c r="C10" s="860">
        <v>17257.590250909088</v>
      </c>
      <c r="D10" s="786">
        <f>'[2]ОСНОВНЫЕ ОБЪЁМЫ'!$DN$143+'[2]ОСНОВНЫЕ ОБЪЁМЫ'!$DM$143+'[2]ОСНОВНЫЕ ОБЪЁМЫ'!$DL$143+'[2]ОСНОВНЫЕ ОБЪЁМЫ'!$DK$143</f>
        <v>102.20806618936649</v>
      </c>
      <c r="E10" s="555">
        <v>30</v>
      </c>
      <c r="F10" s="789">
        <f>E10*9</f>
        <v>270</v>
      </c>
      <c r="G10" s="791">
        <f>D10/F10</f>
        <v>0.37854839329394996</v>
      </c>
      <c r="H10" s="790">
        <v>1</v>
      </c>
    </row>
    <row r="11" spans="1:8" ht="30" customHeight="1" x14ac:dyDescent="0.2">
      <c r="A11" s="553">
        <v>5</v>
      </c>
      <c r="B11" s="554" t="s">
        <v>465</v>
      </c>
      <c r="C11" s="815"/>
      <c r="D11" s="786">
        <f>'[2]ОСНОВНЫЕ ОБЪЁМЫ'!$DS$143+'[2]ОСНОВНЫЕ ОБЪЁМЫ'!$DT$143+'[2]ОСНОВНЫЕ ОБЪЁМЫ'!$DU$143</f>
        <v>149.71418982920002</v>
      </c>
      <c r="E11" s="555">
        <v>30</v>
      </c>
      <c r="F11" s="789">
        <f>E11*9</f>
        <v>270</v>
      </c>
      <c r="G11" s="788">
        <f>D11/F11</f>
        <v>0.55449699936740748</v>
      </c>
      <c r="H11" s="789">
        <v>2</v>
      </c>
    </row>
    <row r="12" spans="1:8" x14ac:dyDescent="0.2">
      <c r="A12" s="553"/>
      <c r="B12" s="554"/>
      <c r="C12" s="793"/>
      <c r="D12" s="786"/>
      <c r="E12" s="555"/>
      <c r="F12" s="555"/>
      <c r="G12" s="555"/>
      <c r="H12" s="555"/>
    </row>
    <row r="13" spans="1:8" s="384" customFormat="1" ht="30.75" customHeight="1" x14ac:dyDescent="0.2">
      <c r="A13" s="2204" t="s">
        <v>399</v>
      </c>
      <c r="B13" s="2204"/>
      <c r="C13" s="539">
        <f>SUM(C7:C11)</f>
        <v>34964.52825090909</v>
      </c>
      <c r="D13" s="539">
        <f>SUM(D7:D12)</f>
        <v>535.2668154508865</v>
      </c>
      <c r="E13" s="540"/>
      <c r="F13" s="540"/>
      <c r="G13" s="540">
        <f>SUM(G7:G12)</f>
        <v>1.9824696868551355</v>
      </c>
      <c r="H13" s="540">
        <f>SUM(H7:H12)</f>
        <v>6</v>
      </c>
    </row>
    <row r="14" spans="1:8" x14ac:dyDescent="0.2">
      <c r="B14" s="532"/>
      <c r="C14" s="532"/>
      <c r="D14" s="532"/>
      <c r="E14" s="532"/>
      <c r="F14" s="532"/>
      <c r="G14" s="532"/>
      <c r="H14" s="532"/>
    </row>
    <row r="15" spans="1:8" x14ac:dyDescent="0.2">
      <c r="B15" s="532"/>
      <c r="C15" s="532"/>
      <c r="D15" s="532"/>
      <c r="E15" s="532"/>
      <c r="F15" s="532"/>
      <c r="G15" s="532"/>
      <c r="H15" s="532"/>
    </row>
    <row r="16" spans="1:8" x14ac:dyDescent="0.2">
      <c r="A16" s="2201" t="s">
        <v>258</v>
      </c>
      <c r="B16" s="2201"/>
      <c r="C16" s="759"/>
      <c r="D16" s="759"/>
      <c r="E16" s="759"/>
      <c r="F16" s="759" t="s">
        <v>259</v>
      </c>
      <c r="G16" s="759"/>
      <c r="H16" s="759"/>
    </row>
    <row r="17" spans="1:8" x14ac:dyDescent="0.2">
      <c r="A17" s="229"/>
      <c r="B17" s="532"/>
      <c r="C17" s="532"/>
      <c r="D17" s="532"/>
      <c r="E17" s="532"/>
      <c r="F17" s="532"/>
      <c r="G17" s="532"/>
      <c r="H17" s="532"/>
    </row>
  </sheetData>
  <mergeCells count="6">
    <mergeCell ref="A16:B16"/>
    <mergeCell ref="A2:H2"/>
    <mergeCell ref="A3:H3"/>
    <mergeCell ref="A4:H4"/>
    <mergeCell ref="A1:H1"/>
    <mergeCell ref="A13:B13"/>
  </mergeCells>
  <pageMargins left="0.59055118110236227" right="0.23622047244094491" top="0.74803149606299213" bottom="0.74803149606299213" header="0.31496062992125984" footer="0.31496062992125984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29" sqref="E29"/>
    </sheetView>
  </sheetViews>
  <sheetFormatPr defaultColWidth="9.140625" defaultRowHeight="15.75" x14ac:dyDescent="0.2"/>
  <cols>
    <col min="1" max="1" width="4.140625" style="943" bestFit="1" customWidth="1"/>
    <col min="2" max="2" width="34.85546875" style="229" customWidth="1"/>
    <col min="3" max="3" width="12.5703125" style="943" customWidth="1"/>
    <col min="4" max="4" width="13.42578125" style="943" customWidth="1"/>
    <col min="5" max="5" width="16.7109375" style="943" customWidth="1"/>
    <col min="6" max="16384" width="9.140625" style="229"/>
  </cols>
  <sheetData>
    <row r="1" spans="1:5" ht="37.5" customHeight="1" x14ac:dyDescent="0.2">
      <c r="A1" s="2205" t="s">
        <v>523</v>
      </c>
      <c r="B1" s="2206"/>
      <c r="C1" s="2206"/>
      <c r="D1" s="2206"/>
      <c r="E1" s="2206"/>
    </row>
    <row r="3" spans="1:5" ht="63" x14ac:dyDescent="0.2">
      <c r="A3" s="957" t="s">
        <v>271</v>
      </c>
      <c r="B3" s="536" t="s">
        <v>537</v>
      </c>
      <c r="C3" s="958" t="s">
        <v>526</v>
      </c>
      <c r="D3" s="958" t="s">
        <v>527</v>
      </c>
      <c r="E3" s="957" t="s">
        <v>538</v>
      </c>
    </row>
    <row r="4" spans="1:5" x14ac:dyDescent="0.2">
      <c r="A4" s="536"/>
      <c r="B4" s="959"/>
      <c r="C4" s="960"/>
      <c r="D4" s="960"/>
      <c r="E4" s="538"/>
    </row>
    <row r="5" spans="1:5" s="384" customFormat="1" x14ac:dyDescent="0.2">
      <c r="A5" s="961"/>
      <c r="B5" s="962" t="s">
        <v>524</v>
      </c>
      <c r="C5" s="963">
        <f>SUM(C6:C12)</f>
        <v>4433.570039491854</v>
      </c>
      <c r="D5" s="963">
        <f>SUM(D6:D12)</f>
        <v>6204.2783314929593</v>
      </c>
      <c r="E5" s="964">
        <f>SUM(E6:E12)</f>
        <v>52798.408601005074</v>
      </c>
    </row>
    <row r="6" spans="1:5" x14ac:dyDescent="0.2">
      <c r="A6" s="536"/>
      <c r="B6" s="959" t="s">
        <v>528</v>
      </c>
      <c r="C6" s="960">
        <f>план!AU91</f>
        <v>153.33333333333331</v>
      </c>
      <c r="D6" s="960">
        <f>C6*1.41</f>
        <v>216.19999999999996</v>
      </c>
      <c r="E6" s="538">
        <f>D6*8.51</f>
        <v>1839.8619999999996</v>
      </c>
    </row>
    <row r="7" spans="1:5" x14ac:dyDescent="0.2">
      <c r="A7" s="536"/>
      <c r="B7" s="959" t="s">
        <v>529</v>
      </c>
      <c r="C7" s="960">
        <f>план!AV91</f>
        <v>318.94499999999999</v>
      </c>
      <c r="D7" s="960">
        <f>C7*1.36</f>
        <v>433.76520000000005</v>
      </c>
      <c r="E7" s="538">
        <f t="shared" ref="E7:E12" si="0">D7*8.51</f>
        <v>3691.3418520000005</v>
      </c>
    </row>
    <row r="8" spans="1:5" x14ac:dyDescent="0.2">
      <c r="A8" s="536"/>
      <c r="B8" s="959" t="s">
        <v>530</v>
      </c>
      <c r="C8" s="960">
        <f>план!AY91+план!BJ91+план!BR91</f>
        <v>940.60895999999968</v>
      </c>
      <c r="D8" s="960">
        <f>C8*1.38</f>
        <v>1298.0403647999995</v>
      </c>
      <c r="E8" s="538">
        <f t="shared" si="0"/>
        <v>11046.323504447995</v>
      </c>
    </row>
    <row r="9" spans="1:5" x14ac:dyDescent="0.2">
      <c r="A9" s="536"/>
      <c r="B9" s="959" t="s">
        <v>531</v>
      </c>
      <c r="C9" s="960">
        <f>план!AZ91</f>
        <v>2064.7420000000002</v>
      </c>
      <c r="D9" s="960">
        <f>C9*1.37</f>
        <v>2828.6965400000004</v>
      </c>
      <c r="E9" s="538">
        <f t="shared" si="0"/>
        <v>24072.207555400004</v>
      </c>
    </row>
    <row r="10" spans="1:5" x14ac:dyDescent="0.2">
      <c r="A10" s="536"/>
      <c r="B10" s="959" t="s">
        <v>532</v>
      </c>
      <c r="C10" s="960">
        <f>план!BE91</f>
        <v>48.591549295774648</v>
      </c>
      <c r="D10" s="960">
        <f>C10*1.43</f>
        <v>69.485915492957744</v>
      </c>
      <c r="E10" s="538">
        <f>D10*8.51</f>
        <v>591.32514084507034</v>
      </c>
    </row>
    <row r="11" spans="1:5" x14ac:dyDescent="0.2">
      <c r="A11" s="536"/>
      <c r="B11" s="959" t="s">
        <v>533</v>
      </c>
      <c r="C11" s="960">
        <f>план!BH91</f>
        <v>251.28299999999999</v>
      </c>
      <c r="D11" s="960">
        <f>C11*1.41</f>
        <v>354.30902999999995</v>
      </c>
      <c r="E11" s="538">
        <f t="shared" si="0"/>
        <v>3015.1698452999995</v>
      </c>
    </row>
    <row r="12" spans="1:5" x14ac:dyDescent="0.2">
      <c r="A12" s="536"/>
      <c r="B12" s="959" t="s">
        <v>534</v>
      </c>
      <c r="C12" s="960">
        <f>план!BL91+план!BT91</f>
        <v>656.06619686274598</v>
      </c>
      <c r="D12" s="960">
        <f>C12*1.53</f>
        <v>1003.7812812000013</v>
      </c>
      <c r="E12" s="538">
        <f t="shared" si="0"/>
        <v>8542.1787030120104</v>
      </c>
    </row>
    <row r="13" spans="1:5" x14ac:dyDescent="0.2">
      <c r="A13" s="536"/>
      <c r="B13" s="959"/>
      <c r="C13" s="960"/>
      <c r="D13" s="960"/>
      <c r="E13" s="538"/>
    </row>
    <row r="14" spans="1:5" x14ac:dyDescent="0.2">
      <c r="A14" s="536"/>
      <c r="B14" s="959"/>
      <c r="C14" s="960"/>
      <c r="D14" s="960"/>
      <c r="E14" s="538"/>
    </row>
    <row r="15" spans="1:5" s="384" customFormat="1" x14ac:dyDescent="0.2">
      <c r="A15" s="961"/>
      <c r="B15" s="962" t="s">
        <v>525</v>
      </c>
      <c r="C15" s="963">
        <f>SUM(C16:C18)</f>
        <v>4767.1935720775655</v>
      </c>
      <c r="D15" s="963">
        <f>SUM(D16:D18)</f>
        <v>6982.6572646047862</v>
      </c>
      <c r="E15" s="964">
        <f>SUM(E16:E18)</f>
        <v>59422.413321786735</v>
      </c>
    </row>
    <row r="16" spans="1:5" x14ac:dyDescent="0.2">
      <c r="A16" s="536"/>
      <c r="B16" s="959" t="s">
        <v>535</v>
      </c>
      <c r="C16" s="960">
        <f>план!AH91+план!AJ91</f>
        <v>1381.9027492038651</v>
      </c>
      <c r="D16" s="960">
        <f>C16*1.41</f>
        <v>1948.4828763774497</v>
      </c>
      <c r="E16" s="538">
        <f t="shared" ref="E16:E18" si="1">D16*8.51</f>
        <v>16581.589277972096</v>
      </c>
    </row>
    <row r="17" spans="1:5" x14ac:dyDescent="0.2">
      <c r="A17" s="536"/>
      <c r="B17" s="959" t="s">
        <v>530</v>
      </c>
      <c r="C17" s="960">
        <f>план!AK91</f>
        <v>968.80380512949637</v>
      </c>
      <c r="D17" s="960">
        <f>C17*1.38</f>
        <v>1336.9492510787049</v>
      </c>
      <c r="E17" s="538">
        <f t="shared" si="1"/>
        <v>11377.438126679779</v>
      </c>
    </row>
    <row r="18" spans="1:5" x14ac:dyDescent="0.2">
      <c r="A18" s="536"/>
      <c r="B18" s="959" t="s">
        <v>534</v>
      </c>
      <c r="C18" s="960">
        <f>план!AM91</f>
        <v>2416.487017744204</v>
      </c>
      <c r="D18" s="960">
        <f>C18*1.53</f>
        <v>3697.2251371486323</v>
      </c>
      <c r="E18" s="538">
        <f t="shared" si="1"/>
        <v>31463.385917134859</v>
      </c>
    </row>
    <row r="19" spans="1:5" x14ac:dyDescent="0.2">
      <c r="A19" s="536"/>
      <c r="B19" s="959"/>
      <c r="C19" s="960"/>
      <c r="D19" s="960"/>
      <c r="E19" s="538"/>
    </row>
    <row r="20" spans="1:5" x14ac:dyDescent="0.2">
      <c r="A20" s="536"/>
      <c r="B20" s="959"/>
      <c r="C20" s="960"/>
      <c r="D20" s="960"/>
      <c r="E20" s="538"/>
    </row>
    <row r="21" spans="1:5" s="384" customFormat="1" ht="36" customHeight="1" x14ac:dyDescent="0.2">
      <c r="A21" s="961"/>
      <c r="B21" s="962" t="s">
        <v>536</v>
      </c>
      <c r="C21" s="963">
        <f>C15+C5</f>
        <v>9200.7636115694186</v>
      </c>
      <c r="D21" s="963">
        <f>D15+D5</f>
        <v>13186.935596097745</v>
      </c>
      <c r="E21" s="964">
        <f>E15+E5</f>
        <v>112220.8219227918</v>
      </c>
    </row>
    <row r="22" spans="1:5" x14ac:dyDescent="0.2">
      <c r="C22" s="389"/>
      <c r="D22" s="389"/>
    </row>
    <row r="23" spans="1:5" x14ac:dyDescent="0.2">
      <c r="C23" s="389"/>
      <c r="D23" s="389"/>
    </row>
    <row r="24" spans="1:5" x14ac:dyDescent="0.2">
      <c r="C24" s="389"/>
      <c r="D24" s="389"/>
    </row>
    <row r="25" spans="1:5" x14ac:dyDescent="0.2">
      <c r="C25" s="389"/>
      <c r="D25" s="389"/>
    </row>
    <row r="26" spans="1:5" x14ac:dyDescent="0.2">
      <c r="C26" s="389"/>
      <c r="D26" s="389"/>
    </row>
    <row r="27" spans="1:5" x14ac:dyDescent="0.2">
      <c r="C27" s="389"/>
      <c r="D27" s="389"/>
    </row>
    <row r="28" spans="1:5" x14ac:dyDescent="0.2">
      <c r="C28" s="389"/>
      <c r="D28" s="389"/>
    </row>
    <row r="29" spans="1:5" x14ac:dyDescent="0.2">
      <c r="C29" s="389"/>
      <c r="D29" s="389"/>
    </row>
    <row r="30" spans="1:5" x14ac:dyDescent="0.2">
      <c r="C30" s="389"/>
      <c r="D30" s="389"/>
    </row>
    <row r="31" spans="1:5" x14ac:dyDescent="0.2">
      <c r="C31" s="389"/>
      <c r="D31" s="389"/>
    </row>
    <row r="32" spans="1:5" x14ac:dyDescent="0.2">
      <c r="C32" s="389"/>
      <c r="D32" s="389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"/>
  <sheetViews>
    <sheetView view="pageBreakPreview" zoomScaleSheetLayoutView="100" workbookViewId="0">
      <selection activeCell="L5" sqref="L5"/>
    </sheetView>
  </sheetViews>
  <sheetFormatPr defaultColWidth="9.140625" defaultRowHeight="15.75" x14ac:dyDescent="0.2"/>
  <cols>
    <col min="1" max="1" width="4.140625" style="385" bestFit="1" customWidth="1"/>
    <col min="2" max="2" width="37.7109375" style="229" customWidth="1"/>
    <col min="3" max="3" width="10.140625" style="385" bestFit="1" customWidth="1"/>
    <col min="4" max="4" width="9.7109375" style="385" bestFit="1" customWidth="1"/>
    <col min="5" max="5" width="14.85546875" style="229" customWidth="1"/>
    <col min="6" max="6" width="13.85546875" style="385" customWidth="1"/>
    <col min="7" max="16384" width="9.140625" style="229"/>
  </cols>
  <sheetData>
    <row r="1" spans="1:6" ht="20.25" x14ac:dyDescent="0.2">
      <c r="A1" s="2202" t="s">
        <v>403</v>
      </c>
      <c r="B1" s="2202"/>
      <c r="C1" s="2202"/>
      <c r="D1" s="2202"/>
      <c r="E1" s="2202"/>
      <c r="F1" s="2202"/>
    </row>
    <row r="3" spans="1:6" s="533" customFormat="1" ht="47.25" x14ac:dyDescent="0.2">
      <c r="A3" s="534" t="s">
        <v>271</v>
      </c>
      <c r="B3" s="535" t="s">
        <v>4</v>
      </c>
      <c r="C3" s="534" t="s">
        <v>400</v>
      </c>
      <c r="D3" s="534" t="s">
        <v>401</v>
      </c>
      <c r="E3" s="534" t="s">
        <v>404</v>
      </c>
      <c r="F3" s="534" t="s">
        <v>402</v>
      </c>
    </row>
    <row r="4" spans="1:6" ht="159" customHeight="1" x14ac:dyDescent="0.2">
      <c r="A4" s="536">
        <v>1</v>
      </c>
      <c r="B4" s="787" t="s">
        <v>818</v>
      </c>
      <c r="C4" s="382">
        <v>19972.599999999999</v>
      </c>
      <c r="D4" s="382">
        <v>4</v>
      </c>
      <c r="E4" s="1044">
        <f>183.479998/59588.64*C4</f>
        <v>61.497839320628891</v>
      </c>
      <c r="F4" s="390">
        <f>2376.00744/59588.64*C4</f>
        <v>796.37740005719206</v>
      </c>
    </row>
    <row r="5" spans="1:6" ht="96.75" customHeight="1" x14ac:dyDescent="0.2">
      <c r="A5" s="536">
        <v>2</v>
      </c>
      <c r="B5" s="787" t="s">
        <v>819</v>
      </c>
      <c r="C5" s="382">
        <f>35031+652.5+1641.34</f>
        <v>37324.839999999997</v>
      </c>
      <c r="D5" s="382">
        <v>4</v>
      </c>
      <c r="E5" s="1044">
        <f>183.479998/59588.64*C5</f>
        <v>114.92730105185014</v>
      </c>
      <c r="F5" s="390">
        <f>2376.00744/59588.64*C5</f>
        <v>1488.2718843190512</v>
      </c>
    </row>
    <row r="6" spans="1:6" ht="80.25" customHeight="1" x14ac:dyDescent="0.2">
      <c r="A6" s="536">
        <v>3</v>
      </c>
      <c r="B6" s="787" t="s">
        <v>817</v>
      </c>
      <c r="C6" s="382">
        <v>6000</v>
      </c>
      <c r="D6" s="382">
        <v>4</v>
      </c>
      <c r="E6" s="1044">
        <f>183.479998/59588.64*C6</f>
        <v>18.474662083242709</v>
      </c>
      <c r="F6" s="390">
        <f>2376.00744/59588.64*C6</f>
        <v>239.2409801599768</v>
      </c>
    </row>
    <row r="7" spans="1:6" x14ac:dyDescent="0.2">
      <c r="A7" s="536"/>
      <c r="B7" s="537"/>
      <c r="C7" s="382"/>
      <c r="D7" s="382"/>
      <c r="E7" s="538"/>
      <c r="F7" s="390"/>
    </row>
    <row r="8" spans="1:6" s="384" customFormat="1" ht="30.75" customHeight="1" x14ac:dyDescent="0.2">
      <c r="A8" s="2204" t="s">
        <v>399</v>
      </c>
      <c r="B8" s="2204"/>
      <c r="C8" s="539">
        <f>SUM(C4:C7)</f>
        <v>63297.439999999995</v>
      </c>
      <c r="D8" s="539"/>
      <c r="E8" s="541">
        <f>SUM(E4:E7)</f>
        <v>194.89980245572175</v>
      </c>
      <c r="F8" s="540">
        <f>SUM(F4:F7)</f>
        <v>2523.8902645362205</v>
      </c>
    </row>
    <row r="9" spans="1:6" x14ac:dyDescent="0.2">
      <c r="B9" s="532"/>
      <c r="E9" s="532"/>
    </row>
    <row r="10" spans="1:6" x14ac:dyDescent="0.2">
      <c r="B10" s="532"/>
      <c r="E10" s="532"/>
    </row>
    <row r="11" spans="1:6" x14ac:dyDescent="0.2">
      <c r="A11" s="2201" t="s">
        <v>258</v>
      </c>
      <c r="B11" s="2201"/>
      <c r="C11" s="2207" t="s">
        <v>259</v>
      </c>
      <c r="D11" s="2207"/>
      <c r="E11" s="532"/>
    </row>
    <row r="12" spans="1:6" x14ac:dyDescent="0.2">
      <c r="A12" s="229"/>
      <c r="B12" s="532"/>
      <c r="E12" s="532"/>
      <c r="F12" s="229"/>
    </row>
  </sheetData>
  <mergeCells count="4">
    <mergeCell ref="A1:F1"/>
    <mergeCell ref="C11:D11"/>
    <mergeCell ref="A11:B11"/>
    <mergeCell ref="A8:B8"/>
  </mergeCells>
  <pageMargins left="0.70866141732283472" right="0.23622047244094491" top="0.74803149606299213" bottom="0.2362204724409449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I101"/>
  <sheetViews>
    <sheetView view="pageBreakPreview" topLeftCell="B1" zoomScale="70" zoomScaleNormal="70" zoomScaleSheetLayoutView="70" zoomScalePageLayoutView="25" workbookViewId="0">
      <pane xSplit="1" ySplit="5" topLeftCell="C7" activePane="bottomRight" state="frozen"/>
      <selection activeCell="B1" sqref="B1"/>
      <selection pane="topRight" activeCell="C1" sqref="C1"/>
      <selection pane="bottomLeft" activeCell="B6" sqref="B6"/>
      <selection pane="bottomRight" activeCell="C74" sqref="C74"/>
    </sheetView>
  </sheetViews>
  <sheetFormatPr defaultColWidth="4.7109375" defaultRowHeight="15.75" x14ac:dyDescent="0.25"/>
  <cols>
    <col min="1" max="1" width="3.7109375" style="4" hidden="1" customWidth="1"/>
    <col min="2" max="2" width="67" style="4" customWidth="1"/>
    <col min="3" max="4" width="12.140625" style="4" customWidth="1"/>
    <col min="5" max="5" width="1.42578125" style="4" customWidth="1"/>
    <col min="6" max="6" width="7" style="5" customWidth="1"/>
    <col min="7" max="7" width="5.42578125" style="5" customWidth="1"/>
    <col min="8" max="8" width="5.7109375" style="5" customWidth="1"/>
    <col min="9" max="10" width="5.28515625" style="5" customWidth="1"/>
    <col min="11" max="11" width="6.7109375" style="5" hidden="1" customWidth="1"/>
    <col min="12" max="21" width="7.42578125" style="5" hidden="1" customWidth="1"/>
    <col min="22" max="22" width="7.42578125" style="4" hidden="1" customWidth="1"/>
    <col min="23" max="23" width="1.85546875" style="4" customWidth="1"/>
    <col min="24" max="24" width="8.28515625" style="4" hidden="1" customWidth="1"/>
    <col min="25" max="25" width="7.85546875" style="4" customWidth="1"/>
    <col min="26" max="27" width="7.140625" style="4" hidden="1" customWidth="1"/>
    <col min="28" max="28" width="7.140625" style="4" customWidth="1"/>
    <col min="29" max="29" width="7.140625" style="4" hidden="1" customWidth="1"/>
    <col min="30" max="30" width="7.140625" style="4" customWidth="1"/>
    <col min="31" max="31" width="6.28515625" style="4" customWidth="1"/>
    <col min="32" max="32" width="6" style="4" customWidth="1"/>
    <col min="33" max="33" width="6.85546875" style="4" hidden="1" customWidth="1"/>
    <col min="34" max="34" width="7.140625" style="4" hidden="1" customWidth="1"/>
    <col min="35" max="35" width="5.85546875" style="4" hidden="1" customWidth="1"/>
    <col min="36" max="36" width="7.7109375" style="4" customWidth="1"/>
    <col min="37" max="37" width="7.42578125" style="4" customWidth="1"/>
    <col min="38" max="38" width="6.85546875" style="4" hidden="1" customWidth="1"/>
    <col min="39" max="39" width="8.85546875" style="4" customWidth="1"/>
    <col min="40" max="40" width="6.42578125" style="4" customWidth="1"/>
    <col min="41" max="41" width="5.7109375" style="4" hidden="1" customWidth="1"/>
    <col min="42" max="42" width="4.85546875" style="4" hidden="1" customWidth="1"/>
    <col min="43" max="43" width="5.140625" style="4" customWidth="1"/>
    <col min="44" max="44" width="6" style="4" hidden="1" customWidth="1"/>
    <col min="45" max="45" width="7.5703125" style="4" customWidth="1"/>
    <col min="46" max="46" width="1.42578125" style="4" customWidth="1"/>
    <col min="47" max="47" width="6.28515625" style="4" customWidth="1"/>
    <col min="48" max="48" width="5.7109375" style="4" customWidth="1"/>
    <col min="49" max="50" width="5.7109375" style="4" hidden="1" customWidth="1"/>
    <col min="51" max="52" width="5.7109375" style="4" customWidth="1"/>
    <col min="53" max="53" width="5.7109375" style="4" hidden="1" customWidth="1"/>
    <col min="54" max="54" width="5.5703125" style="4" hidden="1" customWidth="1"/>
    <col min="55" max="55" width="6.28515625" style="4" hidden="1" customWidth="1"/>
    <col min="56" max="56" width="4.85546875" style="4" hidden="1" customWidth="1"/>
    <col min="57" max="57" width="7.42578125" style="4" customWidth="1"/>
    <col min="58" max="58" width="7.85546875" style="4" customWidth="1"/>
    <col min="59" max="59" width="6.5703125" style="4" hidden="1" customWidth="1"/>
    <col min="60" max="60" width="5.7109375" style="4" customWidth="1"/>
    <col min="61" max="61" width="4.5703125" style="4" hidden="1" customWidth="1"/>
    <col min="62" max="62" width="6.28515625" style="4" customWidth="1"/>
    <col min="63" max="63" width="5.85546875" style="4" customWidth="1"/>
    <col min="64" max="64" width="5" style="4" customWidth="1"/>
    <col min="65" max="65" width="4.5703125" style="4" hidden="1" customWidth="1"/>
    <col min="66" max="66" width="5.85546875" style="4" hidden="1" customWidth="1"/>
    <col min="67" max="67" width="4.28515625" style="4" hidden="1" customWidth="1"/>
    <col min="68" max="68" width="6.28515625" style="4" hidden="1" customWidth="1"/>
    <col min="69" max="69" width="8" style="4" hidden="1" customWidth="1"/>
    <col min="70" max="70" width="6.5703125" style="4" customWidth="1"/>
    <col min="71" max="71" width="5.7109375" style="4" hidden="1" customWidth="1"/>
    <col min="72" max="72" width="5.7109375" style="4" customWidth="1"/>
    <col min="73" max="73" width="7" style="4" customWidth="1"/>
    <col min="74" max="74" width="6.7109375" style="4" customWidth="1"/>
    <col min="75" max="75" width="6.5703125" style="4" hidden="1" customWidth="1"/>
    <col min="76" max="76" width="6.5703125" style="4" customWidth="1"/>
    <col min="77" max="77" width="6.5703125" style="4" hidden="1" customWidth="1"/>
    <col min="78" max="78" width="6.7109375" style="4" customWidth="1"/>
    <col min="79" max="79" width="4.7109375" style="4" customWidth="1"/>
    <col min="80" max="80" width="5.7109375" style="4" customWidth="1"/>
    <col min="81" max="81" width="1.42578125" style="4" customWidth="1"/>
    <col min="82" max="82" width="4.5703125" style="4" hidden="1" customWidth="1"/>
    <col min="83" max="84" width="5.7109375" style="4" hidden="1" customWidth="1"/>
    <col min="85" max="85" width="5.5703125" style="4" customWidth="1"/>
    <col min="86" max="86" width="6" style="4" hidden="1" customWidth="1"/>
    <col min="87" max="87" width="5.5703125" style="4" customWidth="1"/>
    <col min="88" max="88" width="4.140625" style="4" hidden="1" customWidth="1"/>
    <col min="89" max="89" width="5.140625" style="4" customWidth="1"/>
    <col min="90" max="90" width="6" style="4" hidden="1" customWidth="1"/>
    <col min="91" max="91" width="5.7109375" style="4" hidden="1" customWidth="1"/>
    <col min="92" max="92" width="3.5703125" style="4" hidden="1" customWidth="1"/>
    <col min="93" max="93" width="5.7109375" style="4" hidden="1" customWidth="1"/>
    <col min="94" max="94" width="4" style="4" hidden="1" customWidth="1"/>
    <col min="95" max="95" width="3.85546875" style="4" hidden="1" customWidth="1"/>
    <col min="96" max="108" width="5.7109375" style="4" hidden="1" customWidth="1"/>
    <col min="109" max="110" width="3.7109375" style="4" hidden="1" customWidth="1"/>
    <col min="111" max="111" width="3.42578125" style="4" hidden="1" customWidth="1"/>
    <col min="112" max="112" width="3.28515625" style="4" hidden="1" customWidth="1"/>
    <col min="113" max="114" width="5.7109375" style="4" hidden="1" customWidth="1"/>
    <col min="115" max="115" width="6.7109375" style="4" customWidth="1"/>
    <col min="116" max="116" width="5.7109375" style="4" hidden="1" customWidth="1"/>
    <col min="117" max="117" width="8.5703125" style="4" hidden="1" customWidth="1"/>
    <col min="118" max="118" width="8.140625" style="4" customWidth="1"/>
    <col min="119" max="119" width="13.7109375" style="4" hidden="1" customWidth="1"/>
    <col min="120" max="122" width="5.7109375" style="4" hidden="1" customWidth="1"/>
    <col min="123" max="123" width="8.7109375" style="4" hidden="1" customWidth="1"/>
    <col min="124" max="126" width="5.7109375" style="4" customWidth="1"/>
    <col min="127" max="127" width="5.42578125" style="4" hidden="1" customWidth="1"/>
    <col min="128" max="128" width="5.140625" style="4" hidden="1" customWidth="1"/>
    <col min="129" max="129" width="5.28515625" style="4" customWidth="1"/>
    <col min="130" max="130" width="4.85546875" style="4" hidden="1" customWidth="1"/>
    <col min="131" max="131" width="5.140625" style="4" hidden="1" customWidth="1"/>
    <col min="132" max="132" width="5.42578125" style="4" customWidth="1"/>
    <col min="133" max="133" width="5.42578125" style="4" hidden="1" customWidth="1"/>
    <col min="134" max="134" width="7" style="4" hidden="1" customWidth="1"/>
    <col min="135" max="135" width="5.7109375" style="4" hidden="1" customWidth="1"/>
    <col min="136" max="136" width="4" style="4" hidden="1" customWidth="1"/>
    <col min="137" max="137" width="3.85546875" style="4" hidden="1" customWidth="1"/>
    <col min="138" max="138" width="5.140625" style="4" hidden="1" customWidth="1"/>
    <col min="139" max="139" width="5.7109375" style="4" hidden="1" customWidth="1"/>
    <col min="140" max="140" width="5.42578125" style="4" hidden="1" customWidth="1"/>
    <col min="141" max="146" width="5.7109375" style="4" hidden="1" customWidth="1"/>
    <col min="147" max="147" width="5" style="4" hidden="1" customWidth="1"/>
    <col min="148" max="148" width="5.5703125" style="4" hidden="1" customWidth="1"/>
    <col min="149" max="150" width="5.5703125" style="4" customWidth="1"/>
    <col min="151" max="152" width="5.5703125" style="4" hidden="1" customWidth="1"/>
    <col min="153" max="153" width="4.85546875" style="4" customWidth="1"/>
    <col min="154" max="154" width="5.7109375" style="4" customWidth="1"/>
    <col min="155" max="155" width="6.42578125" style="4" customWidth="1"/>
    <col min="156" max="156" width="6" style="4" hidden="1" customWidth="1"/>
    <col min="157" max="163" width="5.7109375" style="4" hidden="1" customWidth="1"/>
    <col min="164" max="166" width="5.7109375" style="436" hidden="1" customWidth="1"/>
    <col min="167" max="191" width="5.7109375" style="4" hidden="1" customWidth="1"/>
    <col min="192" max="192" width="6.7109375" style="4" hidden="1" customWidth="1"/>
    <col min="193" max="195" width="5.7109375" style="4" customWidth="1"/>
    <col min="196" max="197" width="5.7109375" style="4" hidden="1" customWidth="1"/>
    <col min="198" max="198" width="6" style="4" hidden="1" customWidth="1"/>
    <col min="199" max="199" width="5.7109375" style="4" customWidth="1"/>
    <col min="200" max="202" width="5.7109375" style="4" hidden="1" customWidth="1"/>
    <col min="203" max="203" width="5.28515625" style="4" hidden="1" customWidth="1"/>
    <col min="204" max="204" width="4" style="4" hidden="1" customWidth="1"/>
    <col min="205" max="205" width="5" style="4" hidden="1" customWidth="1"/>
    <col min="206" max="206" width="4" style="4" hidden="1" customWidth="1"/>
    <col min="207" max="207" width="4.5703125" style="4" hidden="1" customWidth="1"/>
    <col min="208" max="208" width="3.85546875" style="4" customWidth="1"/>
    <col min="209" max="211" width="4" style="4" customWidth="1"/>
    <col min="212" max="212" width="4.42578125" style="4" customWidth="1"/>
    <col min="213" max="213" width="4" style="4" customWidth="1"/>
    <col min="214" max="214" width="4" style="4" hidden="1" customWidth="1"/>
    <col min="215" max="215" width="5.7109375" style="4" hidden="1" customWidth="1"/>
    <col min="216" max="216" width="4" style="4" hidden="1" customWidth="1"/>
    <col min="217" max="217" width="4.5703125" style="4" hidden="1" customWidth="1"/>
    <col min="218" max="220" width="5.7109375" style="4" hidden="1" customWidth="1"/>
    <col min="221" max="221" width="5.7109375" style="4" customWidth="1"/>
    <col min="222" max="238" width="5.7109375" style="4" hidden="1" customWidth="1"/>
    <col min="239" max="239" width="5.7109375" style="4" customWidth="1"/>
    <col min="240" max="242" width="5.7109375" style="4" hidden="1" customWidth="1"/>
    <col min="243" max="243" width="5.5703125" style="4" hidden="1" customWidth="1"/>
    <col min="244" max="251" width="5.7109375" style="4" hidden="1" customWidth="1"/>
    <col min="252" max="252" width="12.85546875" style="4" hidden="1" customWidth="1"/>
    <col min="253" max="270" width="5.7109375" style="4" hidden="1" customWidth="1"/>
    <col min="271" max="271" width="0.140625" style="4" customWidth="1"/>
    <col min="272" max="273" width="5.7109375" style="4" customWidth="1"/>
    <col min="274" max="276" width="5.7109375" style="4" hidden="1" customWidth="1"/>
    <col min="277" max="277" width="3.85546875" style="4" hidden="1" customWidth="1"/>
    <col min="278" max="278" width="3.28515625" style="4" hidden="1" customWidth="1"/>
    <col min="279" max="280" width="3.42578125" style="4" hidden="1" customWidth="1"/>
    <col min="281" max="281" width="4.5703125" style="4" hidden="1" customWidth="1"/>
    <col min="282" max="282" width="5" style="79" hidden="1" customWidth="1"/>
    <col min="283" max="283" width="5.5703125" style="79" hidden="1" customWidth="1"/>
    <col min="284" max="285" width="5" style="79" hidden="1" customWidth="1"/>
    <col min="286" max="287" width="5.140625" style="79" hidden="1" customWidth="1"/>
    <col min="288" max="288" width="9.42578125" style="79" hidden="1" customWidth="1"/>
    <col min="289" max="289" width="8.42578125" style="79" hidden="1" customWidth="1"/>
    <col min="290" max="291" width="5.7109375" style="4" hidden="1" customWidth="1"/>
    <col min="292" max="292" width="5.42578125" style="1068" hidden="1" customWidth="1"/>
    <col min="293" max="294" width="4.7109375" style="4"/>
    <col min="295" max="295" width="11.28515625" style="220" customWidth="1"/>
    <col min="296" max="16384" width="4.7109375" style="4"/>
  </cols>
  <sheetData>
    <row r="1" spans="1:295" ht="15.75" customHeight="1" thickBot="1" x14ac:dyDescent="0.3">
      <c r="A1" s="2295" t="s">
        <v>820</v>
      </c>
      <c r="B1" s="2295"/>
      <c r="C1" s="2295"/>
      <c r="D1" s="2295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800"/>
      <c r="FI1" s="800"/>
      <c r="FJ1" s="800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  <c r="IW1" s="113"/>
      <c r="IX1" s="113"/>
      <c r="IY1" s="113"/>
      <c r="IZ1" s="113"/>
      <c r="JA1" s="113"/>
      <c r="JB1" s="113"/>
      <c r="JC1" s="113"/>
      <c r="JD1" s="113"/>
      <c r="JE1" s="113"/>
      <c r="JF1" s="113"/>
      <c r="JG1" s="113"/>
      <c r="JH1" s="113"/>
      <c r="JI1" s="113"/>
      <c r="JJ1" s="113"/>
      <c r="JK1" s="113"/>
      <c r="JL1" s="113"/>
      <c r="JM1" s="113"/>
      <c r="JN1" s="113"/>
      <c r="JO1" s="113"/>
      <c r="JP1" s="113"/>
      <c r="JQ1" s="113"/>
      <c r="JR1" s="113"/>
      <c r="JS1" s="113"/>
      <c r="JT1" s="113"/>
      <c r="JU1" s="113"/>
      <c r="JV1" s="113"/>
      <c r="JW1" s="113"/>
      <c r="JX1" s="113"/>
      <c r="JY1" s="113"/>
      <c r="JZ1" s="113"/>
      <c r="KA1" s="113"/>
      <c r="KB1" s="113"/>
      <c r="KC1" s="113"/>
      <c r="KD1" s="113"/>
      <c r="KE1" s="113"/>
      <c r="KF1" s="1047"/>
    </row>
    <row r="2" spans="1:295" ht="16.5" thickBot="1" x14ac:dyDescent="0.3">
      <c r="A2" s="2263"/>
      <c r="B2" s="2040" t="s">
        <v>4</v>
      </c>
      <c r="C2" s="2041" t="s">
        <v>253</v>
      </c>
      <c r="D2" s="2299" t="s">
        <v>254</v>
      </c>
      <c r="E2" s="2266"/>
      <c r="F2" s="2296" t="s">
        <v>320</v>
      </c>
      <c r="G2" s="2297"/>
      <c r="H2" s="2297"/>
      <c r="I2" s="2297"/>
      <c r="J2" s="2297"/>
      <c r="K2" s="2297"/>
      <c r="L2" s="2297"/>
      <c r="M2" s="2297"/>
      <c r="N2" s="2297"/>
      <c r="O2" s="2297"/>
      <c r="P2" s="2297"/>
      <c r="Q2" s="2297"/>
      <c r="R2" s="2297"/>
      <c r="S2" s="2297"/>
      <c r="T2" s="2297"/>
      <c r="U2" s="2297"/>
      <c r="V2" s="2297"/>
      <c r="W2" s="2266"/>
      <c r="X2" s="2239" t="s">
        <v>216</v>
      </c>
      <c r="Y2" s="2240"/>
      <c r="Z2" s="2240"/>
      <c r="AA2" s="2240"/>
      <c r="AB2" s="2240"/>
      <c r="AC2" s="2240"/>
      <c r="AD2" s="2240"/>
      <c r="AE2" s="2240"/>
      <c r="AF2" s="2240"/>
      <c r="AG2" s="2240"/>
      <c r="AH2" s="2240"/>
      <c r="AI2" s="2240"/>
      <c r="AJ2" s="2240"/>
      <c r="AK2" s="2240"/>
      <c r="AL2" s="2240"/>
      <c r="AM2" s="2240"/>
      <c r="AN2" s="2240"/>
      <c r="AO2" s="2240"/>
      <c r="AP2" s="2240"/>
      <c r="AQ2" s="2241"/>
      <c r="AR2" s="2284" t="s">
        <v>217</v>
      </c>
      <c r="AS2" s="2284" t="s">
        <v>6</v>
      </c>
      <c r="AT2" s="2284"/>
      <c r="AU2" s="2239" t="s">
        <v>227</v>
      </c>
      <c r="AV2" s="2240"/>
      <c r="AW2" s="2240"/>
      <c r="AX2" s="2240"/>
      <c r="AY2" s="2240"/>
      <c r="AZ2" s="2240"/>
      <c r="BA2" s="2240"/>
      <c r="BB2" s="2240"/>
      <c r="BC2" s="2240"/>
      <c r="BD2" s="2240"/>
      <c r="BE2" s="2240"/>
      <c r="BF2" s="2240"/>
      <c r="BG2" s="2240"/>
      <c r="BH2" s="2240"/>
      <c r="BI2" s="2240"/>
      <c r="BJ2" s="2240"/>
      <c r="BK2" s="2240"/>
      <c r="BL2" s="2240"/>
      <c r="BM2" s="2240"/>
      <c r="BN2" s="2240"/>
      <c r="BO2" s="2240"/>
      <c r="BP2" s="2240"/>
      <c r="BQ2" s="2240"/>
      <c r="BR2" s="2240"/>
      <c r="BS2" s="2240"/>
      <c r="BT2" s="2240"/>
      <c r="BU2" s="2240"/>
      <c r="BV2" s="2240"/>
      <c r="BW2" s="2240"/>
      <c r="BX2" s="2240"/>
      <c r="BY2" s="2240"/>
      <c r="BZ2" s="2240"/>
      <c r="CA2" s="2240"/>
      <c r="CB2" s="2241"/>
      <c r="CC2" s="2266"/>
      <c r="CD2" s="2239" t="s">
        <v>230</v>
      </c>
      <c r="CE2" s="2240"/>
      <c r="CF2" s="2240"/>
      <c r="CG2" s="2240"/>
      <c r="CH2" s="2240"/>
      <c r="CI2" s="2240"/>
      <c r="CJ2" s="2240"/>
      <c r="CK2" s="2240"/>
      <c r="CL2" s="2240"/>
      <c r="CM2" s="2240"/>
      <c r="CN2" s="2240"/>
      <c r="CO2" s="2240"/>
      <c r="CP2" s="2240"/>
      <c r="CQ2" s="2240"/>
      <c r="CR2" s="2240"/>
      <c r="CS2" s="2240"/>
      <c r="CT2" s="2240"/>
      <c r="CU2" s="2240"/>
      <c r="CV2" s="2240"/>
      <c r="CW2" s="2240"/>
      <c r="CX2" s="2240"/>
      <c r="CY2" s="2240"/>
      <c r="CZ2" s="2240"/>
      <c r="DA2" s="2240"/>
      <c r="DB2" s="2240"/>
      <c r="DC2" s="2240"/>
      <c r="DD2" s="2240"/>
      <c r="DE2" s="2240"/>
      <c r="DF2" s="2240"/>
      <c r="DG2" s="2240"/>
      <c r="DH2" s="2240"/>
      <c r="DI2" s="2240"/>
      <c r="DJ2" s="2240"/>
      <c r="DK2" s="2240"/>
      <c r="DL2" s="2240"/>
      <c r="DM2" s="2240"/>
      <c r="DN2" s="2240"/>
      <c r="DO2" s="2240"/>
      <c r="DP2" s="2240"/>
      <c r="DQ2" s="2241"/>
      <c r="DR2" s="1681"/>
      <c r="DS2" s="1681"/>
      <c r="DT2" s="1682"/>
      <c r="DU2" s="2378" t="s">
        <v>578</v>
      </c>
      <c r="DV2" s="2387" t="s">
        <v>579</v>
      </c>
      <c r="DW2" s="2239" t="s">
        <v>422</v>
      </c>
      <c r="DX2" s="2240"/>
      <c r="DY2" s="2240"/>
      <c r="DZ2" s="2240"/>
      <c r="EA2" s="2240"/>
      <c r="EB2" s="2240"/>
      <c r="EC2" s="2240"/>
      <c r="ED2" s="2240"/>
      <c r="EE2" s="2241"/>
      <c r="EF2" s="1081"/>
      <c r="EG2" s="1082"/>
      <c r="EH2" s="1683"/>
      <c r="EI2" s="1682"/>
      <c r="EJ2" s="1682"/>
      <c r="EK2" s="1682"/>
      <c r="EL2" s="1682"/>
      <c r="EM2" s="1682"/>
      <c r="EN2" s="1682"/>
      <c r="EO2" s="1682"/>
      <c r="EP2" s="1682"/>
      <c r="EQ2" s="1682"/>
      <c r="ER2" s="2240" t="s">
        <v>854</v>
      </c>
      <c r="ES2" s="2240"/>
      <c r="ET2" s="2240"/>
      <c r="EU2" s="2240"/>
      <c r="EV2" s="2240"/>
      <c r="EW2" s="1682"/>
      <c r="EX2" s="1682"/>
      <c r="EY2" s="1682"/>
      <c r="EZ2" s="1682"/>
      <c r="FA2" s="1682"/>
      <c r="FB2" s="1682"/>
      <c r="FC2" s="1682"/>
      <c r="FD2" s="1682"/>
      <c r="FE2" s="1682"/>
      <c r="FF2" s="1682"/>
      <c r="FG2" s="1682"/>
      <c r="FH2" s="1681"/>
      <c r="FI2" s="1681"/>
      <c r="FJ2" s="1681"/>
      <c r="FK2" s="1682"/>
      <c r="FL2" s="1682"/>
      <c r="FM2" s="1682"/>
      <c r="FN2" s="1682"/>
      <c r="FO2" s="1682"/>
      <c r="FP2" s="1682"/>
      <c r="FQ2" s="1682"/>
      <c r="FR2" s="1682"/>
      <c r="FS2" s="1682"/>
      <c r="FT2" s="1682"/>
      <c r="FU2" s="1682"/>
      <c r="FV2" s="1682"/>
      <c r="FW2" s="1682"/>
      <c r="FX2" s="1682"/>
      <c r="FY2" s="1682"/>
      <c r="FZ2" s="1682"/>
      <c r="GA2" s="1682"/>
      <c r="GB2" s="1682"/>
      <c r="GC2" s="1682"/>
      <c r="GD2" s="1682"/>
      <c r="GE2" s="1682"/>
      <c r="GF2" s="1682"/>
      <c r="GG2" s="1682"/>
      <c r="GH2" s="1682"/>
      <c r="GI2" s="1682"/>
      <c r="GJ2" s="1682"/>
      <c r="GK2" s="1682"/>
      <c r="GL2" s="1682"/>
      <c r="GM2" s="1682"/>
      <c r="GN2" s="1682"/>
      <c r="GO2" s="1682"/>
      <c r="GP2" s="1682"/>
      <c r="GQ2" s="2374" t="s">
        <v>812</v>
      </c>
      <c r="GR2" s="2374"/>
      <c r="GS2" s="2374"/>
      <c r="GT2" s="2374"/>
      <c r="GU2" s="2374"/>
      <c r="GV2" s="2374"/>
      <c r="GW2" s="2374"/>
      <c r="GX2" s="2374"/>
      <c r="GY2" s="2374"/>
      <c r="GZ2" s="2374"/>
      <c r="HA2" s="2374"/>
      <c r="HB2" s="2374"/>
      <c r="HC2" s="2374"/>
      <c r="HD2" s="2374"/>
      <c r="HE2" s="2374"/>
      <c r="HF2" s="2374"/>
      <c r="HG2" s="2374"/>
      <c r="HH2" s="2374"/>
      <c r="HI2" s="2374"/>
      <c r="HJ2" s="2374"/>
      <c r="HK2" s="2374"/>
      <c r="HL2" s="2374"/>
      <c r="HM2" s="2374"/>
      <c r="HN2" s="2374"/>
      <c r="HO2" s="2374"/>
      <c r="HP2" s="2374"/>
      <c r="HQ2" s="2374"/>
      <c r="HR2" s="2374"/>
      <c r="HS2" s="2374"/>
      <c r="HT2" s="2374"/>
      <c r="HU2" s="2374"/>
      <c r="HV2" s="2374"/>
      <c r="HW2" s="2374"/>
      <c r="HX2" s="2374"/>
      <c r="HY2" s="2374"/>
      <c r="HZ2" s="2374"/>
      <c r="IA2" s="2374"/>
      <c r="IB2" s="2374"/>
      <c r="IC2" s="2374"/>
      <c r="ID2" s="2374"/>
      <c r="IE2" s="2374"/>
      <c r="IF2" s="2374"/>
      <c r="IG2" s="2374"/>
      <c r="IH2" s="2374"/>
      <c r="II2" s="2374"/>
      <c r="IJ2" s="2374"/>
      <c r="IK2" s="2374"/>
      <c r="IL2" s="2374"/>
      <c r="IM2" s="2374"/>
      <c r="IN2" s="2374"/>
      <c r="IO2" s="2374"/>
      <c r="IP2" s="2374"/>
      <c r="IQ2" s="2374"/>
      <c r="IR2" s="2374"/>
      <c r="IS2" s="2374"/>
      <c r="IT2" s="2374"/>
      <c r="IU2" s="2374"/>
      <c r="IV2" s="2374"/>
      <c r="IW2" s="2374"/>
      <c r="IX2" s="2374"/>
      <c r="IY2" s="2374"/>
      <c r="IZ2" s="2374"/>
      <c r="JA2" s="2374"/>
      <c r="JB2" s="2374"/>
      <c r="JC2" s="2374"/>
      <c r="JD2" s="2374"/>
      <c r="JE2" s="2374"/>
      <c r="JF2" s="2374"/>
      <c r="JG2" s="2374"/>
      <c r="JH2" s="2374"/>
      <c r="JI2" s="2374"/>
      <c r="JJ2" s="2374"/>
      <c r="JK2" s="2374"/>
      <c r="JL2" s="2374"/>
      <c r="JM2" s="2375"/>
    </row>
    <row r="3" spans="1:295" s="6" customFormat="1" ht="28.5" customHeight="1" thickBot="1" x14ac:dyDescent="0.3">
      <c r="A3" s="2264"/>
      <c r="B3" s="2261"/>
      <c r="C3" s="2259"/>
      <c r="D3" s="2300"/>
      <c r="E3" s="2267"/>
      <c r="F3" s="2329" t="s">
        <v>238</v>
      </c>
      <c r="G3" s="2048" t="s">
        <v>5</v>
      </c>
      <c r="H3" s="2049"/>
      <c r="I3" s="2049"/>
      <c r="J3" s="2049"/>
      <c r="K3" s="2049"/>
      <c r="L3" s="2049"/>
      <c r="M3" s="2049"/>
      <c r="N3" s="2049"/>
      <c r="O3" s="2049"/>
      <c r="P3" s="2049"/>
      <c r="Q3" s="2049"/>
      <c r="R3" s="2049"/>
      <c r="S3" s="2049"/>
      <c r="T3" s="2049"/>
      <c r="U3" s="2049"/>
      <c r="V3" s="2049"/>
      <c r="W3" s="2267"/>
      <c r="X3" s="2289" t="s">
        <v>281</v>
      </c>
      <c r="Y3" s="2289" t="s">
        <v>239</v>
      </c>
      <c r="Z3" s="2289" t="s">
        <v>434</v>
      </c>
      <c r="AA3" s="2289" t="s">
        <v>431</v>
      </c>
      <c r="AB3" s="2289" t="s">
        <v>241</v>
      </c>
      <c r="AC3" s="2289" t="s">
        <v>364</v>
      </c>
      <c r="AD3" s="2247" t="s">
        <v>240</v>
      </c>
      <c r="AE3" s="2249" t="s">
        <v>21</v>
      </c>
      <c r="AF3" s="2250"/>
      <c r="AG3" s="2250"/>
      <c r="AH3" s="2250"/>
      <c r="AI3" s="2250"/>
      <c r="AJ3" s="2250"/>
      <c r="AK3" s="2250"/>
      <c r="AL3" s="2250"/>
      <c r="AM3" s="2250"/>
      <c r="AN3" s="2250"/>
      <c r="AO3" s="2250"/>
      <c r="AP3" s="2250"/>
      <c r="AQ3" s="2251"/>
      <c r="AR3" s="2285"/>
      <c r="AS3" s="2285"/>
      <c r="AT3" s="2285"/>
      <c r="AU3" s="2325" t="s">
        <v>221</v>
      </c>
      <c r="AV3" s="2255" t="s">
        <v>222</v>
      </c>
      <c r="AW3" s="2057" t="s">
        <v>225</v>
      </c>
      <c r="AX3" s="2323" t="s">
        <v>223</v>
      </c>
      <c r="AY3" s="2057" t="s">
        <v>224</v>
      </c>
      <c r="AZ3" s="2057" t="s">
        <v>452</v>
      </c>
      <c r="BA3" s="2057" t="s">
        <v>583</v>
      </c>
      <c r="BB3" s="2057" t="s">
        <v>248</v>
      </c>
      <c r="BC3" s="2323" t="s">
        <v>249</v>
      </c>
      <c r="BD3" s="2057" t="s">
        <v>432</v>
      </c>
      <c r="BE3" s="2057" t="s">
        <v>218</v>
      </c>
      <c r="BF3" s="2058" t="s">
        <v>219</v>
      </c>
      <c r="BG3" s="2058" t="s">
        <v>453</v>
      </c>
      <c r="BH3" s="2224" t="s">
        <v>220</v>
      </c>
      <c r="BI3" s="2226" t="s">
        <v>286</v>
      </c>
      <c r="BJ3" s="2226"/>
      <c r="BK3" s="2226"/>
      <c r="BL3" s="2227"/>
      <c r="BM3" s="2258" t="s">
        <v>319</v>
      </c>
      <c r="BN3" s="2226"/>
      <c r="BO3" s="2226"/>
      <c r="BP3" s="2227"/>
      <c r="BQ3" s="2258" t="s">
        <v>282</v>
      </c>
      <c r="BR3" s="2226"/>
      <c r="BS3" s="2226"/>
      <c r="BT3" s="2227"/>
      <c r="BU3" s="2284" t="s">
        <v>454</v>
      </c>
      <c r="BV3" s="2334" t="s">
        <v>509</v>
      </c>
      <c r="BW3" s="2057" t="s">
        <v>800</v>
      </c>
      <c r="BX3" s="2057" t="s">
        <v>801</v>
      </c>
      <c r="BY3" s="2057" t="s">
        <v>451</v>
      </c>
      <c r="BZ3" s="2294" t="s">
        <v>226</v>
      </c>
      <c r="CA3" s="2258" t="s">
        <v>232</v>
      </c>
      <c r="CB3" s="2331"/>
      <c r="CC3" s="2267"/>
      <c r="CD3" s="2255" t="s">
        <v>7</v>
      </c>
      <c r="CE3" s="2057" t="s">
        <v>8</v>
      </c>
      <c r="CF3" s="2058" t="s">
        <v>9</v>
      </c>
      <c r="CG3" s="2057" t="s">
        <v>423</v>
      </c>
      <c r="CH3" s="2057" t="s">
        <v>433</v>
      </c>
      <c r="CI3" s="2057" t="s">
        <v>45</v>
      </c>
      <c r="CJ3" s="2057" t="s">
        <v>175</v>
      </c>
      <c r="CK3" s="2057" t="s">
        <v>10</v>
      </c>
      <c r="CL3" s="2057" t="s">
        <v>430</v>
      </c>
      <c r="CM3" s="2057" t="s">
        <v>429</v>
      </c>
      <c r="CN3" s="2057" t="s">
        <v>252</v>
      </c>
      <c r="CO3" s="2057" t="s">
        <v>584</v>
      </c>
      <c r="CP3" s="2057" t="s">
        <v>251</v>
      </c>
      <c r="CQ3" s="2057" t="s">
        <v>236</v>
      </c>
      <c r="CR3" s="2032" t="s">
        <v>338</v>
      </c>
      <c r="CS3" s="2057" t="s">
        <v>13</v>
      </c>
      <c r="CT3" s="2057" t="s">
        <v>72</v>
      </c>
      <c r="CU3" s="2057" t="s">
        <v>14</v>
      </c>
      <c r="CV3" s="2057" t="s">
        <v>122</v>
      </c>
      <c r="CW3" s="2057" t="s">
        <v>102</v>
      </c>
      <c r="CX3" s="2057" t="s">
        <v>15</v>
      </c>
      <c r="CY3" s="2057" t="s">
        <v>72</v>
      </c>
      <c r="CZ3" s="2066" t="s">
        <v>478</v>
      </c>
      <c r="DA3" s="2066" t="s">
        <v>479</v>
      </c>
      <c r="DB3" s="2066" t="s">
        <v>477</v>
      </c>
      <c r="DC3" s="2066" t="s">
        <v>580</v>
      </c>
      <c r="DD3" s="2066" t="s">
        <v>581</v>
      </c>
      <c r="DE3" s="2057" t="s">
        <v>228</v>
      </c>
      <c r="DF3" s="2057" t="s">
        <v>577</v>
      </c>
      <c r="DG3" s="2057" t="s">
        <v>169</v>
      </c>
      <c r="DH3" s="2057" t="s">
        <v>170</v>
      </c>
      <c r="DI3" s="2057" t="s">
        <v>229</v>
      </c>
      <c r="DJ3" s="2057" t="s">
        <v>16</v>
      </c>
      <c r="DK3" s="2057" t="s">
        <v>153</v>
      </c>
      <c r="DL3" s="2057" t="s">
        <v>204</v>
      </c>
      <c r="DM3" s="2057" t="s">
        <v>205</v>
      </c>
      <c r="DN3" s="2057" t="s">
        <v>850</v>
      </c>
      <c r="DO3" s="2057" t="s">
        <v>206</v>
      </c>
      <c r="DP3" s="2057" t="s">
        <v>207</v>
      </c>
      <c r="DQ3" s="2294" t="s">
        <v>283</v>
      </c>
      <c r="DR3" s="2358" t="s">
        <v>202</v>
      </c>
      <c r="DS3" s="2066" t="s">
        <v>31</v>
      </c>
      <c r="DT3" s="2252" t="s">
        <v>32</v>
      </c>
      <c r="DU3" s="2379"/>
      <c r="DV3" s="2388"/>
      <c r="DW3" s="2361" t="s">
        <v>585</v>
      </c>
      <c r="DX3" s="2070" t="s">
        <v>352</v>
      </c>
      <c r="DY3" s="2070" t="s">
        <v>440</v>
      </c>
      <c r="DZ3" s="2070" t="s">
        <v>441</v>
      </c>
      <c r="EA3" s="2070" t="s">
        <v>440</v>
      </c>
      <c r="EB3" s="2070" t="s">
        <v>604</v>
      </c>
      <c r="EC3" s="2070" t="s">
        <v>442</v>
      </c>
      <c r="ED3" s="2070" t="s">
        <v>444</v>
      </c>
      <c r="EE3" s="2366" t="s">
        <v>443</v>
      </c>
      <c r="EF3" s="2368" t="s">
        <v>586</v>
      </c>
      <c r="EG3" s="2366" t="s">
        <v>587</v>
      </c>
      <c r="EH3" s="2367" t="s">
        <v>447</v>
      </c>
      <c r="EI3" s="2057" t="s">
        <v>419</v>
      </c>
      <c r="EJ3" s="2057" t="s">
        <v>417</v>
      </c>
      <c r="EK3" s="2057" t="s">
        <v>411</v>
      </c>
      <c r="EL3" s="2057" t="s">
        <v>412</v>
      </c>
      <c r="EM3" s="2057" t="s">
        <v>413</v>
      </c>
      <c r="EN3" s="2057" t="s">
        <v>414</v>
      </c>
      <c r="EO3" s="2057" t="s">
        <v>415</v>
      </c>
      <c r="EP3" s="2057" t="s">
        <v>416</v>
      </c>
      <c r="EQ3" s="2323" t="s">
        <v>418</v>
      </c>
      <c r="ER3" s="2255" t="s">
        <v>520</v>
      </c>
      <c r="ES3" s="2255" t="s">
        <v>851</v>
      </c>
      <c r="ET3" s="2255" t="s">
        <v>849</v>
      </c>
      <c r="EU3" s="2057" t="s">
        <v>420</v>
      </c>
      <c r="EV3" s="2057" t="s">
        <v>439</v>
      </c>
      <c r="EW3" s="2057" t="s">
        <v>438</v>
      </c>
      <c r="EX3" s="2084" t="s">
        <v>518</v>
      </c>
      <c r="EY3" s="2057" t="s">
        <v>448</v>
      </c>
      <c r="EZ3" s="2057" t="s">
        <v>521</v>
      </c>
      <c r="FA3" s="2057" t="s">
        <v>421</v>
      </c>
      <c r="FB3" s="2057" t="s">
        <v>424</v>
      </c>
      <c r="FC3" s="2070" t="s">
        <v>3</v>
      </c>
      <c r="FD3" s="2057" t="s">
        <v>40</v>
      </c>
      <c r="FE3" s="2057" t="s">
        <v>41</v>
      </c>
      <c r="FF3" s="2057" t="s">
        <v>20</v>
      </c>
      <c r="FG3" s="2070" t="s">
        <v>63</v>
      </c>
      <c r="FH3" s="2066" t="s">
        <v>477</v>
      </c>
      <c r="FI3" s="2066" t="s">
        <v>478</v>
      </c>
      <c r="FJ3" s="2066" t="s">
        <v>479</v>
      </c>
      <c r="FK3" s="2066" t="s">
        <v>44</v>
      </c>
      <c r="FL3" s="2066" t="s">
        <v>42</v>
      </c>
      <c r="FM3" s="2067" t="s">
        <v>117</v>
      </c>
      <c r="FN3" s="2067" t="s">
        <v>118</v>
      </c>
      <c r="FO3" s="2066" t="s">
        <v>103</v>
      </c>
      <c r="FP3" s="2066" t="s">
        <v>125</v>
      </c>
      <c r="FQ3" s="2066" t="s">
        <v>33</v>
      </c>
      <c r="FR3" s="2071" t="s">
        <v>34</v>
      </c>
      <c r="FS3" s="2071" t="s">
        <v>35</v>
      </c>
      <c r="FT3" s="2071" t="s">
        <v>36</v>
      </c>
      <c r="FU3" s="2071" t="s">
        <v>70</v>
      </c>
      <c r="FV3" s="2071" t="s">
        <v>105</v>
      </c>
      <c r="FW3" s="2071" t="s">
        <v>108</v>
      </c>
      <c r="FX3" s="2067" t="s">
        <v>106</v>
      </c>
      <c r="FY3" s="2071" t="s">
        <v>37</v>
      </c>
      <c r="FZ3" s="2071" t="s">
        <v>38</v>
      </c>
      <c r="GA3" s="2067" t="s">
        <v>104</v>
      </c>
      <c r="GB3" s="2072" t="s">
        <v>52</v>
      </c>
      <c r="GC3" s="2057" t="s">
        <v>69</v>
      </c>
      <c r="GD3" s="2057" t="s">
        <v>94</v>
      </c>
      <c r="GE3" s="2067" t="s">
        <v>107</v>
      </c>
      <c r="GF3" s="2057" t="s">
        <v>60</v>
      </c>
      <c r="GG3" s="2057" t="s">
        <v>86</v>
      </c>
      <c r="GH3" s="2057" t="s">
        <v>85</v>
      </c>
      <c r="GI3" s="2057" t="s">
        <v>68</v>
      </c>
      <c r="GJ3" s="2057" t="s">
        <v>519</v>
      </c>
      <c r="GK3" s="2057" t="s">
        <v>852</v>
      </c>
      <c r="GL3" s="2057" t="s">
        <v>48</v>
      </c>
      <c r="GM3" s="2377" t="s">
        <v>853</v>
      </c>
      <c r="GN3" s="2057" t="s">
        <v>155</v>
      </c>
      <c r="GO3" s="2057" t="s">
        <v>176</v>
      </c>
      <c r="GP3" s="2073" t="s">
        <v>93</v>
      </c>
      <c r="GQ3" s="2070" t="s">
        <v>73</v>
      </c>
      <c r="GR3" s="2070" t="s">
        <v>178</v>
      </c>
      <c r="GS3" s="2070" t="s">
        <v>83</v>
      </c>
      <c r="GT3" s="2070" t="s">
        <v>79</v>
      </c>
      <c r="GU3" s="2070" t="s">
        <v>177</v>
      </c>
      <c r="GV3" s="2070" t="s">
        <v>158</v>
      </c>
      <c r="GW3" s="2057" t="s">
        <v>159</v>
      </c>
      <c r="GX3" s="2057" t="s">
        <v>160</v>
      </c>
      <c r="GY3" s="2057" t="s">
        <v>156</v>
      </c>
      <c r="GZ3" s="2057" t="s">
        <v>157</v>
      </c>
      <c r="HA3" s="2057" t="s">
        <v>810</v>
      </c>
      <c r="HB3" s="2057" t="s">
        <v>811</v>
      </c>
      <c r="HC3" s="2057" t="s">
        <v>807</v>
      </c>
      <c r="HD3" s="2057" t="s">
        <v>806</v>
      </c>
      <c r="HE3" s="2057" t="s">
        <v>805</v>
      </c>
      <c r="HF3" s="2057" t="s">
        <v>166</v>
      </c>
      <c r="HG3" s="2057" t="s">
        <v>56</v>
      </c>
      <c r="HH3" s="2070" t="s">
        <v>167</v>
      </c>
      <c r="HI3" s="2070" t="s">
        <v>168</v>
      </c>
      <c r="HJ3" s="2057" t="s">
        <v>97</v>
      </c>
      <c r="HK3" s="2070" t="s">
        <v>59</v>
      </c>
      <c r="HL3" s="2057" t="s">
        <v>43</v>
      </c>
      <c r="HM3" s="2079" t="s">
        <v>809</v>
      </c>
      <c r="HN3" s="2077" t="s">
        <v>109</v>
      </c>
      <c r="HO3" s="2078" t="s">
        <v>90</v>
      </c>
      <c r="HP3" s="2078" t="s">
        <v>92</v>
      </c>
      <c r="HQ3" s="2078" t="s">
        <v>112</v>
      </c>
      <c r="HR3" s="2078" t="s">
        <v>91</v>
      </c>
      <c r="HS3" s="2078" t="s">
        <v>73</v>
      </c>
      <c r="HT3" s="2081" t="s">
        <v>67</v>
      </c>
      <c r="HU3" s="2081" t="s">
        <v>96</v>
      </c>
      <c r="HV3" s="2082" t="s">
        <v>87</v>
      </c>
      <c r="HW3" s="2083" t="s">
        <v>100</v>
      </c>
      <c r="HX3" s="2080" t="s">
        <v>50</v>
      </c>
      <c r="HY3" s="2080" t="s">
        <v>47</v>
      </c>
      <c r="HZ3" s="2077" t="s">
        <v>119</v>
      </c>
      <c r="IA3" s="2077" t="s">
        <v>53</v>
      </c>
      <c r="IB3" s="2080" t="s">
        <v>46</v>
      </c>
      <c r="IC3" s="2077" t="s">
        <v>76</v>
      </c>
      <c r="ID3" s="2077" t="s">
        <v>82</v>
      </c>
      <c r="IE3" s="2079" t="s">
        <v>110</v>
      </c>
      <c r="IF3" s="2087" t="s">
        <v>77</v>
      </c>
      <c r="IG3" s="2087" t="s">
        <v>78</v>
      </c>
      <c r="IH3" s="2080" t="s">
        <v>89</v>
      </c>
      <c r="II3" s="2077" t="s">
        <v>88</v>
      </c>
      <c r="IJ3" s="2080" t="s">
        <v>49</v>
      </c>
      <c r="IK3" s="2077" t="s">
        <v>54</v>
      </c>
      <c r="IL3" s="2341" t="s">
        <v>95</v>
      </c>
      <c r="IM3" s="2342" t="s">
        <v>58</v>
      </c>
      <c r="IN3" s="2085" t="s">
        <v>57</v>
      </c>
      <c r="IO3" s="2079" t="s">
        <v>120</v>
      </c>
      <c r="IP3" s="2086" t="s">
        <v>65</v>
      </c>
      <c r="IQ3" s="2081" t="s">
        <v>51</v>
      </c>
      <c r="IR3" s="2077" t="s">
        <v>123</v>
      </c>
      <c r="IS3" s="2077" t="s">
        <v>124</v>
      </c>
      <c r="IT3" s="2090" t="s">
        <v>116</v>
      </c>
      <c r="IU3" s="2077" t="s">
        <v>55</v>
      </c>
      <c r="IV3" s="2078" t="s">
        <v>81</v>
      </c>
      <c r="IW3" s="2078" t="s">
        <v>80</v>
      </c>
      <c r="IX3" s="2087" t="s">
        <v>101</v>
      </c>
      <c r="IY3" s="2087" t="s">
        <v>113</v>
      </c>
      <c r="IZ3" s="2088" t="s">
        <v>115</v>
      </c>
      <c r="JA3" s="2089" t="s">
        <v>114</v>
      </c>
      <c r="JB3" s="2077" t="s">
        <v>66</v>
      </c>
      <c r="JC3" s="2077" t="s">
        <v>64</v>
      </c>
      <c r="JD3" s="2077" t="s">
        <v>75</v>
      </c>
      <c r="JE3" s="2101" t="s">
        <v>129</v>
      </c>
      <c r="JF3" s="2101" t="s">
        <v>130</v>
      </c>
      <c r="JG3" s="2101" t="s">
        <v>131</v>
      </c>
      <c r="JH3" s="2102" t="s">
        <v>132</v>
      </c>
      <c r="JI3" s="2339" t="s">
        <v>98</v>
      </c>
      <c r="JJ3" s="2090" t="s">
        <v>121</v>
      </c>
      <c r="JK3" s="2096" t="s">
        <v>127</v>
      </c>
      <c r="JL3" s="2032" t="s">
        <v>802</v>
      </c>
      <c r="JM3" s="2357" t="s">
        <v>803</v>
      </c>
      <c r="JN3" s="2347" t="s">
        <v>804</v>
      </c>
      <c r="JO3" s="2097" t="s">
        <v>128</v>
      </c>
      <c r="JP3" s="2336" t="s">
        <v>161</v>
      </c>
      <c r="JQ3" s="2336" t="s">
        <v>162</v>
      </c>
      <c r="JR3" s="2336" t="s">
        <v>163</v>
      </c>
      <c r="JS3" s="2336" t="s">
        <v>164</v>
      </c>
      <c r="JT3" s="2336" t="s">
        <v>190</v>
      </c>
      <c r="JU3" s="2336" t="s">
        <v>189</v>
      </c>
      <c r="JV3" s="2354" t="s">
        <v>179</v>
      </c>
      <c r="JW3" s="2351" t="s">
        <v>180</v>
      </c>
      <c r="JX3" s="2351" t="s">
        <v>181</v>
      </c>
      <c r="JY3" s="2348" t="s">
        <v>182</v>
      </c>
      <c r="JZ3" s="2351" t="s">
        <v>183</v>
      </c>
      <c r="KA3" s="2348" t="s">
        <v>184</v>
      </c>
      <c r="KB3" s="2348" t="s">
        <v>185</v>
      </c>
      <c r="KC3" s="2344" t="s">
        <v>186</v>
      </c>
      <c r="KD3" s="2097"/>
      <c r="KE3" s="2097"/>
      <c r="KF3" s="2244" t="s">
        <v>582</v>
      </c>
      <c r="KI3" s="221"/>
    </row>
    <row r="4" spans="1:295" s="6" customFormat="1" ht="18.75" customHeight="1" x14ac:dyDescent="0.2">
      <c r="A4" s="2264"/>
      <c r="B4" s="2261"/>
      <c r="C4" s="2259"/>
      <c r="D4" s="2300"/>
      <c r="E4" s="2267"/>
      <c r="F4" s="2256"/>
      <c r="G4" s="2094" t="s">
        <v>17</v>
      </c>
      <c r="H4" s="2094" t="s">
        <v>18</v>
      </c>
      <c r="I4" s="2094" t="s">
        <v>0</v>
      </c>
      <c r="J4" s="2094" t="s">
        <v>29</v>
      </c>
      <c r="K4" s="2094" t="s">
        <v>1</v>
      </c>
      <c r="L4" s="2094" t="s">
        <v>210</v>
      </c>
      <c r="M4" s="2094" t="s">
        <v>214</v>
      </c>
      <c r="N4" s="2094" t="s">
        <v>247</v>
      </c>
      <c r="O4" s="2094" t="s">
        <v>215</v>
      </c>
      <c r="P4" s="2094" t="s">
        <v>212</v>
      </c>
      <c r="Q4" s="2094" t="s">
        <v>213</v>
      </c>
      <c r="R4" s="2094" t="s">
        <v>243</v>
      </c>
      <c r="S4" s="2094" t="s">
        <v>244</v>
      </c>
      <c r="T4" s="2094" t="s">
        <v>245</v>
      </c>
      <c r="U4" s="2094" t="s">
        <v>246</v>
      </c>
      <c r="V4" s="2291" t="s">
        <v>211</v>
      </c>
      <c r="W4" s="2267"/>
      <c r="X4" s="2290"/>
      <c r="Y4" s="2290"/>
      <c r="Z4" s="2290"/>
      <c r="AA4" s="2290"/>
      <c r="AB4" s="2290"/>
      <c r="AC4" s="2290"/>
      <c r="AD4" s="2248"/>
      <c r="AE4" s="2285" t="s">
        <v>22</v>
      </c>
      <c r="AF4" s="2292" t="s">
        <v>28</v>
      </c>
      <c r="AG4" s="2298" t="s">
        <v>23</v>
      </c>
      <c r="AH4" s="2057" t="s">
        <v>321</v>
      </c>
      <c r="AI4" s="2057" t="s">
        <v>23</v>
      </c>
      <c r="AJ4" s="2057" t="s">
        <v>39</v>
      </c>
      <c r="AK4" s="2057" t="s">
        <v>2</v>
      </c>
      <c r="AL4" s="2057" t="s">
        <v>25</v>
      </c>
      <c r="AM4" s="2294" t="s">
        <v>24</v>
      </c>
      <c r="AN4" s="2292" t="s">
        <v>19</v>
      </c>
      <c r="AO4" s="2222" t="s">
        <v>435</v>
      </c>
      <c r="AP4" s="2292" t="s">
        <v>188</v>
      </c>
      <c r="AQ4" s="2293" t="s">
        <v>187</v>
      </c>
      <c r="AR4" s="2285"/>
      <c r="AS4" s="2285"/>
      <c r="AT4" s="2285"/>
      <c r="AU4" s="2326"/>
      <c r="AV4" s="2256"/>
      <c r="AW4" s="2033"/>
      <c r="AX4" s="2099"/>
      <c r="AY4" s="2033"/>
      <c r="AZ4" s="2033"/>
      <c r="BA4" s="2033"/>
      <c r="BB4" s="2222"/>
      <c r="BC4" s="2298"/>
      <c r="BD4" s="2222"/>
      <c r="BE4" s="2222"/>
      <c r="BF4" s="2223"/>
      <c r="BG4" s="2223"/>
      <c r="BH4" s="2225"/>
      <c r="BI4" s="2303" t="s">
        <v>74</v>
      </c>
      <c r="BJ4" s="2218" t="s">
        <v>26</v>
      </c>
      <c r="BK4" s="2218" t="s">
        <v>25</v>
      </c>
      <c r="BL4" s="2219" t="s">
        <v>24</v>
      </c>
      <c r="BM4" s="2302" t="s">
        <v>74</v>
      </c>
      <c r="BN4" s="2218" t="s">
        <v>26</v>
      </c>
      <c r="BO4" s="2218" t="s">
        <v>25</v>
      </c>
      <c r="BP4" s="2219" t="s">
        <v>24</v>
      </c>
      <c r="BQ4" s="2302" t="s">
        <v>165</v>
      </c>
      <c r="BR4" s="2218" t="s">
        <v>208</v>
      </c>
      <c r="BS4" s="2218" t="s">
        <v>154</v>
      </c>
      <c r="BT4" s="2271" t="s">
        <v>603</v>
      </c>
      <c r="BU4" s="2285"/>
      <c r="BV4" s="2334"/>
      <c r="BW4" s="2222"/>
      <c r="BX4" s="2222"/>
      <c r="BY4" s="2222"/>
      <c r="BZ4" s="2293"/>
      <c r="CA4" s="2316" t="s">
        <v>234</v>
      </c>
      <c r="CB4" s="2318" t="s">
        <v>235</v>
      </c>
      <c r="CC4" s="2267"/>
      <c r="CD4" s="2256"/>
      <c r="CE4" s="2033"/>
      <c r="CF4" s="2033"/>
      <c r="CG4" s="2033"/>
      <c r="CH4" s="2033"/>
      <c r="CI4" s="2033"/>
      <c r="CJ4" s="2033"/>
      <c r="CK4" s="2033"/>
      <c r="CL4" s="2033"/>
      <c r="CM4" s="2033"/>
      <c r="CN4" s="2033"/>
      <c r="CO4" s="2033"/>
      <c r="CP4" s="2033"/>
      <c r="CQ4" s="2033"/>
      <c r="CR4" s="2033"/>
      <c r="CS4" s="2033"/>
      <c r="CT4" s="2033"/>
      <c r="CU4" s="2033"/>
      <c r="CV4" s="2033"/>
      <c r="CW4" s="2033"/>
      <c r="CX4" s="2033"/>
      <c r="CY4" s="2033"/>
      <c r="CZ4" s="2211"/>
      <c r="DA4" s="2211"/>
      <c r="DB4" s="2211"/>
      <c r="DC4" s="2211"/>
      <c r="DD4" s="2211"/>
      <c r="DE4" s="2033"/>
      <c r="DF4" s="2033"/>
      <c r="DG4" s="2033"/>
      <c r="DH4" s="2033"/>
      <c r="DI4" s="2033"/>
      <c r="DJ4" s="2033"/>
      <c r="DK4" s="2222"/>
      <c r="DL4" s="2222"/>
      <c r="DM4" s="2222"/>
      <c r="DN4" s="2222"/>
      <c r="DO4" s="2222"/>
      <c r="DP4" s="2222"/>
      <c r="DQ4" s="2293"/>
      <c r="DR4" s="2359"/>
      <c r="DS4" s="2253"/>
      <c r="DT4" s="2099"/>
      <c r="DU4" s="2379"/>
      <c r="DV4" s="2388"/>
      <c r="DW4" s="2256"/>
      <c r="DX4" s="2033"/>
      <c r="DY4" s="2033"/>
      <c r="DZ4" s="2033"/>
      <c r="EA4" s="2033"/>
      <c r="EB4" s="2033"/>
      <c r="EC4" s="2033"/>
      <c r="ED4" s="2033"/>
      <c r="EE4" s="2220"/>
      <c r="EF4" s="2326"/>
      <c r="EG4" s="2220"/>
      <c r="EH4" s="2290"/>
      <c r="EI4" s="2033"/>
      <c r="EJ4" s="2033"/>
      <c r="EK4" s="2033"/>
      <c r="EL4" s="2033"/>
      <c r="EM4" s="2033"/>
      <c r="EN4" s="2033"/>
      <c r="EO4" s="2033"/>
      <c r="EP4" s="2033"/>
      <c r="EQ4" s="2099"/>
      <c r="ER4" s="2256"/>
      <c r="ES4" s="2256"/>
      <c r="ET4" s="2256"/>
      <c r="EU4" s="2033"/>
      <c r="EV4" s="2033"/>
      <c r="EW4" s="2033"/>
      <c r="EX4" s="2033"/>
      <c r="EY4" s="2033"/>
      <c r="EZ4" s="2033"/>
      <c r="FA4" s="2033"/>
      <c r="FB4" s="2033"/>
      <c r="FC4" s="2033"/>
      <c r="FD4" s="2033"/>
      <c r="FE4" s="2033"/>
      <c r="FF4" s="2033"/>
      <c r="FG4" s="2033"/>
      <c r="FH4" s="2211"/>
      <c r="FI4" s="2211"/>
      <c r="FJ4" s="2211"/>
      <c r="FK4" s="2033"/>
      <c r="FL4" s="2033"/>
      <c r="FM4" s="2033"/>
      <c r="FN4" s="2033"/>
      <c r="FO4" s="2033"/>
      <c r="FP4" s="2033"/>
      <c r="FQ4" s="2033"/>
      <c r="FR4" s="2033"/>
      <c r="FS4" s="2033"/>
      <c r="FT4" s="2033"/>
      <c r="FU4" s="2033"/>
      <c r="FV4" s="2033"/>
      <c r="FW4" s="2033"/>
      <c r="FX4" s="2033"/>
      <c r="FY4" s="2033"/>
      <c r="FZ4" s="2033"/>
      <c r="GA4" s="2033"/>
      <c r="GB4" s="2033"/>
      <c r="GC4" s="2033"/>
      <c r="GD4" s="2033"/>
      <c r="GE4" s="2033"/>
      <c r="GF4" s="2033"/>
      <c r="GG4" s="2033"/>
      <c r="GH4" s="2033"/>
      <c r="GI4" s="2033"/>
      <c r="GJ4" s="2253"/>
      <c r="GK4" s="2222"/>
      <c r="GL4" s="2222"/>
      <c r="GM4" s="2290"/>
      <c r="GN4" s="2033"/>
      <c r="GO4" s="2222"/>
      <c r="GP4" s="2033"/>
      <c r="GQ4" s="2033"/>
      <c r="GR4" s="2033"/>
      <c r="GS4" s="2033"/>
      <c r="GT4" s="2033"/>
      <c r="GU4" s="2033"/>
      <c r="GV4" s="2253"/>
      <c r="GW4" s="2253"/>
      <c r="GX4" s="2253"/>
      <c r="GY4" s="2253"/>
      <c r="GZ4" s="2253"/>
      <c r="HA4" s="2253"/>
      <c r="HB4" s="2253"/>
      <c r="HC4" s="2253"/>
      <c r="HD4" s="2253"/>
      <c r="HE4" s="2253"/>
      <c r="HF4" s="2033"/>
      <c r="HG4" s="2033"/>
      <c r="HH4" s="2033"/>
      <c r="HI4" s="2033"/>
      <c r="HJ4" s="2033"/>
      <c r="HK4" s="2033"/>
      <c r="HL4" s="2033"/>
      <c r="HM4" s="2033"/>
      <c r="HN4" s="2033"/>
      <c r="HO4" s="2033"/>
      <c r="HP4" s="2033"/>
      <c r="HQ4" s="2033"/>
      <c r="HR4" s="2033"/>
      <c r="HS4" s="2033"/>
      <c r="HT4" s="2033"/>
      <c r="HU4" s="2033"/>
      <c r="HV4" s="2033"/>
      <c r="HW4" s="2033"/>
      <c r="HX4" s="2033"/>
      <c r="HY4" s="2033"/>
      <c r="HZ4" s="2033"/>
      <c r="IA4" s="2033"/>
      <c r="IB4" s="2033"/>
      <c r="IC4" s="2033"/>
      <c r="ID4" s="2033"/>
      <c r="IE4" s="2033"/>
      <c r="IF4" s="2033"/>
      <c r="IG4" s="2033"/>
      <c r="IH4" s="2033"/>
      <c r="II4" s="2033"/>
      <c r="IJ4" s="2033"/>
      <c r="IK4" s="2033"/>
      <c r="IL4" s="2099"/>
      <c r="IM4" s="2290"/>
      <c r="IN4" s="2033"/>
      <c r="IO4" s="2033"/>
      <c r="IP4" s="2033"/>
      <c r="IQ4" s="2033"/>
      <c r="IR4" s="2033"/>
      <c r="IS4" s="2033"/>
      <c r="IT4" s="2033"/>
      <c r="IU4" s="2033"/>
      <c r="IV4" s="2033"/>
      <c r="IW4" s="2033"/>
      <c r="IX4" s="2033"/>
      <c r="IY4" s="2033"/>
      <c r="IZ4" s="2033"/>
      <c r="JA4" s="2033"/>
      <c r="JB4" s="2033"/>
      <c r="JC4" s="2033"/>
      <c r="JD4" s="2033"/>
      <c r="JE4" s="2033"/>
      <c r="JF4" s="2033"/>
      <c r="JG4" s="2033"/>
      <c r="JH4" s="2033"/>
      <c r="JI4" s="2220"/>
      <c r="JJ4" s="2033"/>
      <c r="JK4" s="2033"/>
      <c r="JL4" s="2033"/>
      <c r="JM4" s="2220"/>
      <c r="JN4" s="2290"/>
      <c r="JO4" s="2033"/>
      <c r="JP4" s="2337"/>
      <c r="JQ4" s="2337"/>
      <c r="JR4" s="2337"/>
      <c r="JS4" s="2337"/>
      <c r="JT4" s="2337"/>
      <c r="JU4" s="2337"/>
      <c r="JV4" s="2355"/>
      <c r="JW4" s="2352"/>
      <c r="JX4" s="2352"/>
      <c r="JY4" s="2349"/>
      <c r="JZ4" s="2352"/>
      <c r="KA4" s="2349"/>
      <c r="KB4" s="2349"/>
      <c r="KC4" s="2345"/>
      <c r="KD4" s="2242"/>
      <c r="KE4" s="2242"/>
      <c r="KF4" s="2245"/>
      <c r="KI4" s="221"/>
    </row>
    <row r="5" spans="1:295" s="6" customFormat="1" ht="136.5" customHeight="1" thickBot="1" x14ac:dyDescent="0.25">
      <c r="A5" s="2265"/>
      <c r="B5" s="2262"/>
      <c r="C5" s="2260"/>
      <c r="D5" s="2301"/>
      <c r="E5" s="2267"/>
      <c r="F5" s="2256"/>
      <c r="G5" s="2033"/>
      <c r="H5" s="2033"/>
      <c r="I5" s="2033"/>
      <c r="J5" s="2033"/>
      <c r="K5" s="2033"/>
      <c r="L5" s="2033"/>
      <c r="M5" s="2033"/>
      <c r="N5" s="2033"/>
      <c r="O5" s="2033"/>
      <c r="P5" s="2033"/>
      <c r="Q5" s="2033"/>
      <c r="R5" s="2033"/>
      <c r="S5" s="2033"/>
      <c r="T5" s="2033"/>
      <c r="U5" s="2033"/>
      <c r="V5" s="2099"/>
      <c r="W5" s="2267"/>
      <c r="X5" s="2290"/>
      <c r="Y5" s="2290"/>
      <c r="Z5" s="2290"/>
      <c r="AA5" s="2290"/>
      <c r="AB5" s="2290"/>
      <c r="AC5" s="2290"/>
      <c r="AD5" s="2248"/>
      <c r="AE5" s="2038"/>
      <c r="AF5" s="2290"/>
      <c r="AG5" s="2099"/>
      <c r="AH5" s="2033"/>
      <c r="AI5" s="2033"/>
      <c r="AJ5" s="2033"/>
      <c r="AK5" s="2033"/>
      <c r="AL5" s="2033"/>
      <c r="AM5" s="2220"/>
      <c r="AN5" s="2290"/>
      <c r="AO5" s="2033"/>
      <c r="AP5" s="2292"/>
      <c r="AQ5" s="2220"/>
      <c r="AR5" s="2286"/>
      <c r="AS5" s="2286"/>
      <c r="AT5" s="2285"/>
      <c r="AU5" s="2326"/>
      <c r="AV5" s="2256"/>
      <c r="AW5" s="2033"/>
      <c r="AX5" s="2099"/>
      <c r="AY5" s="2033"/>
      <c r="AZ5" s="2033"/>
      <c r="BA5" s="2033"/>
      <c r="BB5" s="2320"/>
      <c r="BC5" s="2324"/>
      <c r="BD5" s="2222"/>
      <c r="BE5" s="2222"/>
      <c r="BF5" s="2223"/>
      <c r="BG5" s="2223"/>
      <c r="BH5" s="2225"/>
      <c r="BI5" s="2290"/>
      <c r="BJ5" s="2033"/>
      <c r="BK5" s="2033"/>
      <c r="BL5" s="2220"/>
      <c r="BM5" s="2256"/>
      <c r="BN5" s="2033"/>
      <c r="BO5" s="2033"/>
      <c r="BP5" s="2220"/>
      <c r="BQ5" s="2256"/>
      <c r="BR5" s="2033"/>
      <c r="BS5" s="2033"/>
      <c r="BT5" s="2220"/>
      <c r="BU5" s="2286"/>
      <c r="BV5" s="2335"/>
      <c r="BW5" s="2320"/>
      <c r="BX5" s="2320"/>
      <c r="BY5" s="2320"/>
      <c r="BZ5" s="2330"/>
      <c r="CA5" s="2317"/>
      <c r="CB5" s="2319"/>
      <c r="CC5" s="2267"/>
      <c r="CD5" s="2257"/>
      <c r="CE5" s="2034"/>
      <c r="CF5" s="2034"/>
      <c r="CG5" s="2034"/>
      <c r="CH5" s="2034"/>
      <c r="CI5" s="2034"/>
      <c r="CJ5" s="2034"/>
      <c r="CK5" s="2034"/>
      <c r="CL5" s="2034"/>
      <c r="CM5" s="2034"/>
      <c r="CN5" s="2034"/>
      <c r="CO5" s="2034"/>
      <c r="CP5" s="2034"/>
      <c r="CQ5" s="2034"/>
      <c r="CR5" s="2034"/>
      <c r="CS5" s="2034"/>
      <c r="CT5" s="2034"/>
      <c r="CU5" s="2034"/>
      <c r="CV5" s="2034"/>
      <c r="CW5" s="2034"/>
      <c r="CX5" s="2034"/>
      <c r="CY5" s="2034"/>
      <c r="CZ5" s="2212"/>
      <c r="DA5" s="2212"/>
      <c r="DB5" s="2212"/>
      <c r="DC5" s="2212"/>
      <c r="DD5" s="2212"/>
      <c r="DE5" s="2034"/>
      <c r="DF5" s="2034"/>
      <c r="DG5" s="2034"/>
      <c r="DH5" s="2034"/>
      <c r="DI5" s="2034"/>
      <c r="DJ5" s="2034"/>
      <c r="DK5" s="2320"/>
      <c r="DL5" s="2320"/>
      <c r="DM5" s="2320"/>
      <c r="DN5" s="2320"/>
      <c r="DO5" s="2320"/>
      <c r="DP5" s="2320"/>
      <c r="DQ5" s="2330"/>
      <c r="DR5" s="2360"/>
      <c r="DS5" s="2254"/>
      <c r="DT5" s="2100"/>
      <c r="DU5" s="2380"/>
      <c r="DV5" s="2389"/>
      <c r="DW5" s="2257"/>
      <c r="DX5" s="2034"/>
      <c r="DY5" s="2034"/>
      <c r="DZ5" s="2034"/>
      <c r="EA5" s="2034"/>
      <c r="EB5" s="2034"/>
      <c r="EC5" s="2034"/>
      <c r="ED5" s="2034"/>
      <c r="EE5" s="2340"/>
      <c r="EF5" s="2369"/>
      <c r="EG5" s="2340"/>
      <c r="EH5" s="2343"/>
      <c r="EI5" s="2034"/>
      <c r="EJ5" s="2034"/>
      <c r="EK5" s="2034"/>
      <c r="EL5" s="2034"/>
      <c r="EM5" s="2034"/>
      <c r="EN5" s="2034"/>
      <c r="EO5" s="2034"/>
      <c r="EP5" s="2034"/>
      <c r="EQ5" s="2100"/>
      <c r="ER5" s="2257"/>
      <c r="ES5" s="2257"/>
      <c r="ET5" s="2257"/>
      <c r="EU5" s="2034"/>
      <c r="EV5" s="2034"/>
      <c r="EW5" s="2034"/>
      <c r="EX5" s="2034"/>
      <c r="EY5" s="2034"/>
      <c r="EZ5" s="2034"/>
      <c r="FA5" s="2034"/>
      <c r="FB5" s="2034"/>
      <c r="FC5" s="2034"/>
      <c r="FD5" s="2034"/>
      <c r="FE5" s="2034"/>
      <c r="FF5" s="2034"/>
      <c r="FG5" s="2034"/>
      <c r="FH5" s="2212"/>
      <c r="FI5" s="2212"/>
      <c r="FJ5" s="2212"/>
      <c r="FK5" s="2034"/>
      <c r="FL5" s="2034"/>
      <c r="FM5" s="2034"/>
      <c r="FN5" s="2034"/>
      <c r="FO5" s="2034"/>
      <c r="FP5" s="2034"/>
      <c r="FQ5" s="2034"/>
      <c r="FR5" s="2034"/>
      <c r="FS5" s="2034"/>
      <c r="FT5" s="2034"/>
      <c r="FU5" s="2034"/>
      <c r="FV5" s="2034"/>
      <c r="FW5" s="2034"/>
      <c r="FX5" s="2034"/>
      <c r="FY5" s="2034"/>
      <c r="FZ5" s="2034"/>
      <c r="GA5" s="2034"/>
      <c r="GB5" s="2034"/>
      <c r="GC5" s="2034"/>
      <c r="GD5" s="2034"/>
      <c r="GE5" s="2034"/>
      <c r="GF5" s="2034"/>
      <c r="GG5" s="2034"/>
      <c r="GH5" s="2034"/>
      <c r="GI5" s="2034"/>
      <c r="GJ5" s="2254"/>
      <c r="GK5" s="2320"/>
      <c r="GL5" s="2320"/>
      <c r="GM5" s="2343"/>
      <c r="GN5" s="2034"/>
      <c r="GO5" s="2320"/>
      <c r="GP5" s="2034"/>
      <c r="GQ5" s="2034"/>
      <c r="GR5" s="2034"/>
      <c r="GS5" s="2034"/>
      <c r="GT5" s="2034"/>
      <c r="GU5" s="2034"/>
      <c r="GV5" s="2254"/>
      <c r="GW5" s="2254"/>
      <c r="GX5" s="2254"/>
      <c r="GY5" s="2254"/>
      <c r="GZ5" s="2254"/>
      <c r="HA5" s="2254"/>
      <c r="HB5" s="2254"/>
      <c r="HC5" s="2254"/>
      <c r="HD5" s="2254"/>
      <c r="HE5" s="2254"/>
      <c r="HF5" s="2034"/>
      <c r="HG5" s="2034"/>
      <c r="HH5" s="2034"/>
      <c r="HI5" s="2034"/>
      <c r="HJ5" s="2034"/>
      <c r="HK5" s="2034"/>
      <c r="HL5" s="2034"/>
      <c r="HM5" s="2034"/>
      <c r="HN5" s="2034"/>
      <c r="HO5" s="2034"/>
      <c r="HP5" s="2034"/>
      <c r="HQ5" s="2034"/>
      <c r="HR5" s="2034"/>
      <c r="HS5" s="2034"/>
      <c r="HT5" s="2034"/>
      <c r="HU5" s="2034"/>
      <c r="HV5" s="2034"/>
      <c r="HW5" s="2034"/>
      <c r="HX5" s="2034"/>
      <c r="HY5" s="2034"/>
      <c r="HZ5" s="2034"/>
      <c r="IA5" s="2034"/>
      <c r="IB5" s="2034"/>
      <c r="IC5" s="2034"/>
      <c r="ID5" s="2034"/>
      <c r="IE5" s="2034"/>
      <c r="IF5" s="2034"/>
      <c r="IG5" s="2034"/>
      <c r="IH5" s="2034"/>
      <c r="II5" s="2034"/>
      <c r="IJ5" s="2034"/>
      <c r="IK5" s="2034"/>
      <c r="IL5" s="2100"/>
      <c r="IM5" s="2343"/>
      <c r="IN5" s="2034"/>
      <c r="IO5" s="2034"/>
      <c r="IP5" s="2034"/>
      <c r="IQ5" s="2034"/>
      <c r="IR5" s="2034"/>
      <c r="IS5" s="2034"/>
      <c r="IT5" s="2034"/>
      <c r="IU5" s="2034"/>
      <c r="IV5" s="2034"/>
      <c r="IW5" s="2034"/>
      <c r="IX5" s="2034"/>
      <c r="IY5" s="2034"/>
      <c r="IZ5" s="2034"/>
      <c r="JA5" s="2034"/>
      <c r="JB5" s="2034"/>
      <c r="JC5" s="2034"/>
      <c r="JD5" s="2034"/>
      <c r="JE5" s="2034"/>
      <c r="JF5" s="2034"/>
      <c r="JG5" s="2034"/>
      <c r="JH5" s="2034"/>
      <c r="JI5" s="2340"/>
      <c r="JJ5" s="2034"/>
      <c r="JK5" s="2034"/>
      <c r="JL5" s="2034"/>
      <c r="JM5" s="2340"/>
      <c r="JN5" s="2343"/>
      <c r="JO5" s="2034"/>
      <c r="JP5" s="2338"/>
      <c r="JQ5" s="2338"/>
      <c r="JR5" s="2338"/>
      <c r="JS5" s="2338"/>
      <c r="JT5" s="2338"/>
      <c r="JU5" s="2338"/>
      <c r="JV5" s="2356"/>
      <c r="JW5" s="2353"/>
      <c r="JX5" s="2353"/>
      <c r="JY5" s="2350"/>
      <c r="JZ5" s="2353"/>
      <c r="KA5" s="2350"/>
      <c r="KB5" s="2350"/>
      <c r="KC5" s="2346"/>
      <c r="KD5" s="2243"/>
      <c r="KE5" s="2243"/>
      <c r="KF5" s="2246"/>
      <c r="KI5" s="221"/>
    </row>
    <row r="6" spans="1:295" s="7" customFormat="1" x14ac:dyDescent="0.25">
      <c r="A6" s="356"/>
      <c r="B6" s="411" t="s">
        <v>516</v>
      </c>
      <c r="C6" s="90"/>
      <c r="D6" s="359"/>
      <c r="E6" s="2267"/>
      <c r="F6" s="345"/>
      <c r="G6" s="95"/>
      <c r="H6" s="96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9"/>
      <c r="W6" s="2267"/>
      <c r="X6" s="226"/>
      <c r="Y6" s="226"/>
      <c r="Z6" s="226"/>
      <c r="AA6" s="226"/>
      <c r="AB6" s="226"/>
      <c r="AC6" s="456"/>
      <c r="AD6" s="341"/>
      <c r="AE6" s="350"/>
      <c r="AF6" s="639"/>
      <c r="AG6" s="640"/>
      <c r="AH6" s="623"/>
      <c r="AI6" s="623"/>
      <c r="AJ6" s="623"/>
      <c r="AK6" s="623"/>
      <c r="AL6" s="623"/>
      <c r="AM6" s="641"/>
      <c r="AN6" s="351"/>
      <c r="AO6" s="214"/>
      <c r="AP6" s="347"/>
      <c r="AQ6" s="440"/>
      <c r="AR6" s="125"/>
      <c r="AS6" s="125"/>
      <c r="AT6" s="2285"/>
      <c r="AU6" s="151"/>
      <c r="AV6" s="132"/>
      <c r="AW6" s="98"/>
      <c r="AX6" s="139"/>
      <c r="AY6" s="98"/>
      <c r="AZ6" s="98"/>
      <c r="BA6" s="98"/>
      <c r="BB6" s="98"/>
      <c r="BC6" s="139"/>
      <c r="BD6" s="98"/>
      <c r="BE6" s="223"/>
      <c r="BF6" s="223"/>
      <c r="BG6" s="98"/>
      <c r="BH6" s="133"/>
      <c r="BI6" s="97"/>
      <c r="BJ6" s="97"/>
      <c r="BK6" s="97"/>
      <c r="BL6" s="116"/>
      <c r="BM6" s="132"/>
      <c r="BN6" s="97"/>
      <c r="BO6" s="97"/>
      <c r="BP6" s="116"/>
      <c r="BQ6" s="132"/>
      <c r="BR6" s="98"/>
      <c r="BS6" s="99"/>
      <c r="BT6" s="133"/>
      <c r="BU6" s="707"/>
      <c r="BV6" s="99"/>
      <c r="BW6" s="98"/>
      <c r="BX6" s="98"/>
      <c r="BY6" s="98"/>
      <c r="BZ6" s="133"/>
      <c r="CA6" s="151"/>
      <c r="CB6" s="133"/>
      <c r="CC6" s="2267"/>
      <c r="CD6" s="132"/>
      <c r="CE6" s="98"/>
      <c r="CF6" s="98"/>
      <c r="CG6" s="223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102"/>
      <c r="DH6" s="102"/>
      <c r="DI6" s="98"/>
      <c r="DJ6" s="102"/>
      <c r="DK6" s="102"/>
      <c r="DL6" s="102"/>
      <c r="DM6" s="102"/>
      <c r="DN6" s="102"/>
      <c r="DO6" s="102"/>
      <c r="DP6" s="102"/>
      <c r="DQ6" s="765"/>
      <c r="DR6" s="921"/>
      <c r="DS6" s="102"/>
      <c r="DT6" s="139"/>
      <c r="DU6" s="132"/>
      <c r="DV6" s="133"/>
      <c r="DW6" s="931"/>
      <c r="DX6" s="922"/>
      <c r="DY6" s="922"/>
      <c r="DZ6" s="922"/>
      <c r="EA6" s="922"/>
      <c r="EB6" s="922"/>
      <c r="EC6" s="922"/>
      <c r="ED6" s="102"/>
      <c r="EE6" s="765"/>
      <c r="EF6" s="151"/>
      <c r="EG6" s="133"/>
      <c r="EH6" s="917"/>
      <c r="EI6" s="922"/>
      <c r="EJ6" s="922"/>
      <c r="EK6" s="922"/>
      <c r="EL6" s="922"/>
      <c r="EM6" s="922"/>
      <c r="EN6" s="922"/>
      <c r="EO6" s="922"/>
      <c r="EP6" s="922"/>
      <c r="EQ6" s="922"/>
      <c r="ER6" s="922"/>
      <c r="ES6" s="922"/>
      <c r="ET6" s="922"/>
      <c r="EU6" s="922"/>
      <c r="EV6" s="922"/>
      <c r="EW6" s="922"/>
      <c r="EX6" s="102"/>
      <c r="EY6" s="922"/>
      <c r="EZ6" s="922"/>
      <c r="FA6" s="923"/>
      <c r="FB6" s="922"/>
      <c r="FC6" s="98"/>
      <c r="FD6" s="98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936"/>
      <c r="GI6" s="936"/>
      <c r="GJ6" s="936"/>
      <c r="GK6" s="936"/>
      <c r="GL6" s="936"/>
      <c r="GM6" s="168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936"/>
      <c r="IM6" s="917"/>
      <c r="IN6" s="102"/>
      <c r="IO6" s="102"/>
      <c r="IP6" s="102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1"/>
      <c r="JI6" s="103"/>
      <c r="JJ6" s="100"/>
      <c r="JK6" s="100"/>
      <c r="JL6" s="100"/>
      <c r="JM6" s="103"/>
      <c r="JN6" s="168"/>
      <c r="JO6" s="103"/>
      <c r="JP6" s="104"/>
      <c r="JQ6" s="104"/>
      <c r="JR6" s="104"/>
      <c r="JS6" s="104"/>
      <c r="JT6" s="104"/>
      <c r="JU6" s="104"/>
      <c r="JV6" s="105"/>
      <c r="JW6" s="104"/>
      <c r="JX6" s="104"/>
      <c r="JY6" s="104"/>
      <c r="JZ6" s="104"/>
      <c r="KA6" s="104"/>
      <c r="KB6" s="104"/>
      <c r="KC6" s="104"/>
      <c r="KD6" s="106"/>
      <c r="KE6" s="106"/>
      <c r="KF6" s="1069"/>
      <c r="KI6" s="221"/>
    </row>
    <row r="7" spans="1:295" s="7" customFormat="1" x14ac:dyDescent="0.25">
      <c r="A7" s="356"/>
      <c r="B7" s="411" t="s">
        <v>607</v>
      </c>
      <c r="C7" s="1232">
        <f>C8+C9+C10+C13</f>
        <v>873091.19999999984</v>
      </c>
      <c r="D7" s="1218">
        <f>C7/1.2</f>
        <v>727575.99999999988</v>
      </c>
      <c r="E7" s="2267"/>
      <c r="F7" s="1219"/>
      <c r="G7" s="53"/>
      <c r="H7" s="54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7"/>
      <c r="W7" s="2267"/>
      <c r="X7" s="147"/>
      <c r="Y7" s="147"/>
      <c r="Z7" s="147"/>
      <c r="AA7" s="147"/>
      <c r="AB7" s="147"/>
      <c r="AC7" s="1220"/>
      <c r="AD7" s="1221"/>
      <c r="AE7" s="1222"/>
      <c r="AF7" s="761"/>
      <c r="AG7" s="1223"/>
      <c r="AH7" s="1224"/>
      <c r="AI7" s="1224"/>
      <c r="AJ7" s="1224"/>
      <c r="AK7" s="1224"/>
      <c r="AL7" s="1224"/>
      <c r="AM7" s="1225"/>
      <c r="AN7" s="1226"/>
      <c r="AO7" s="1227"/>
      <c r="AP7" s="1228"/>
      <c r="AQ7" s="1229"/>
      <c r="AR7" s="1230"/>
      <c r="AS7" s="1230"/>
      <c r="AT7" s="2285"/>
      <c r="AU7" s="152"/>
      <c r="AV7" s="134"/>
      <c r="AW7" s="56"/>
      <c r="AX7" s="140"/>
      <c r="AY7" s="56"/>
      <c r="AZ7" s="56"/>
      <c r="BA7" s="56"/>
      <c r="BB7" s="56"/>
      <c r="BC7" s="140"/>
      <c r="BD7" s="56"/>
      <c r="BE7" s="224"/>
      <c r="BF7" s="224"/>
      <c r="BG7" s="56"/>
      <c r="BH7" s="135"/>
      <c r="BI7" s="55"/>
      <c r="BJ7" s="55"/>
      <c r="BK7" s="55"/>
      <c r="BL7" s="118"/>
      <c r="BM7" s="134"/>
      <c r="BN7" s="55"/>
      <c r="BO7" s="55"/>
      <c r="BP7" s="118"/>
      <c r="BQ7" s="134"/>
      <c r="BR7" s="56"/>
      <c r="BS7" s="57"/>
      <c r="BT7" s="135"/>
      <c r="BU7" s="708"/>
      <c r="BV7" s="57"/>
      <c r="BW7" s="56"/>
      <c r="BX7" s="56"/>
      <c r="BY7" s="56"/>
      <c r="BZ7" s="135"/>
      <c r="CA7" s="152"/>
      <c r="CB7" s="135"/>
      <c r="CC7" s="2267"/>
      <c r="CD7" s="134"/>
      <c r="CE7" s="56"/>
      <c r="CF7" s="56"/>
      <c r="CG7" s="224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60"/>
      <c r="DH7" s="60"/>
      <c r="DI7" s="56"/>
      <c r="DJ7" s="60"/>
      <c r="DK7" s="60"/>
      <c r="DL7" s="60"/>
      <c r="DM7" s="60"/>
      <c r="DN7" s="60"/>
      <c r="DO7" s="60"/>
      <c r="DP7" s="60"/>
      <c r="DQ7" s="766"/>
      <c r="DR7" s="924"/>
      <c r="DS7" s="60"/>
      <c r="DT7" s="140"/>
      <c r="DU7" s="134"/>
      <c r="DV7" s="135"/>
      <c r="DW7" s="932"/>
      <c r="DX7" s="690"/>
      <c r="DY7" s="690"/>
      <c r="DZ7" s="690"/>
      <c r="EA7" s="690"/>
      <c r="EB7" s="690"/>
      <c r="EC7" s="690"/>
      <c r="ED7" s="60"/>
      <c r="EE7" s="766"/>
      <c r="EF7" s="152"/>
      <c r="EG7" s="135"/>
      <c r="EH7" s="918"/>
      <c r="EI7" s="690"/>
      <c r="EJ7" s="690"/>
      <c r="EK7" s="690"/>
      <c r="EL7" s="690"/>
      <c r="EM7" s="690"/>
      <c r="EN7" s="690"/>
      <c r="EO7" s="690"/>
      <c r="EP7" s="690"/>
      <c r="EQ7" s="690"/>
      <c r="ER7" s="690"/>
      <c r="ES7" s="690"/>
      <c r="ET7" s="690"/>
      <c r="EU7" s="690"/>
      <c r="EV7" s="690"/>
      <c r="EW7" s="690"/>
      <c r="EX7" s="60"/>
      <c r="EY7" s="690"/>
      <c r="EZ7" s="690"/>
      <c r="FA7" s="474"/>
      <c r="FB7" s="690"/>
      <c r="FC7" s="56"/>
      <c r="FD7" s="56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807"/>
      <c r="GI7" s="807"/>
      <c r="GJ7" s="807"/>
      <c r="GK7" s="807"/>
      <c r="GL7" s="807"/>
      <c r="GM7" s="169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807"/>
      <c r="IM7" s="918"/>
      <c r="IN7" s="60"/>
      <c r="IO7" s="60"/>
      <c r="IP7" s="60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  <c r="JD7" s="58"/>
      <c r="JE7" s="58"/>
      <c r="JF7" s="58"/>
      <c r="JG7" s="58"/>
      <c r="JH7" s="59"/>
      <c r="JI7" s="61"/>
      <c r="JJ7" s="58"/>
      <c r="JK7" s="58"/>
      <c r="JL7" s="58"/>
      <c r="JM7" s="61"/>
      <c r="JN7" s="169"/>
      <c r="JO7" s="61"/>
      <c r="JP7" s="62"/>
      <c r="JQ7" s="62"/>
      <c r="JR7" s="62"/>
      <c r="JS7" s="62"/>
      <c r="JT7" s="62"/>
      <c r="JU7" s="62"/>
      <c r="JV7" s="1231"/>
      <c r="JW7" s="62"/>
      <c r="JX7" s="62"/>
      <c r="JY7" s="62"/>
      <c r="JZ7" s="62"/>
      <c r="KA7" s="62"/>
      <c r="KB7" s="62"/>
      <c r="KC7" s="62"/>
      <c r="KD7" s="18"/>
      <c r="KE7" s="18"/>
      <c r="KF7" s="1070"/>
      <c r="KI7" s="221"/>
    </row>
    <row r="8" spans="1:295" s="7" customFormat="1" ht="26.25" x14ac:dyDescent="0.25">
      <c r="A8" s="1287"/>
      <c r="B8" s="409" t="s">
        <v>613</v>
      </c>
      <c r="C8" s="63">
        <f>ROUND(583325.57*90%*0.8,2)</f>
        <v>419994.41</v>
      </c>
      <c r="D8" s="361">
        <f>C8/1.2</f>
        <v>349995.34166666667</v>
      </c>
      <c r="E8" s="2267"/>
      <c r="F8" s="346">
        <f>SUM(G8:K8)</f>
        <v>2.3450000000000002</v>
      </c>
      <c r="G8" s="147"/>
      <c r="H8" s="148"/>
      <c r="I8" s="147"/>
      <c r="J8" s="147">
        <v>2.3450000000000002</v>
      </c>
      <c r="K8" s="147"/>
      <c r="L8" s="53"/>
      <c r="M8" s="53"/>
      <c r="N8" s="149"/>
      <c r="O8" s="53"/>
      <c r="P8" s="53"/>
      <c r="Q8" s="55"/>
      <c r="R8" s="55"/>
      <c r="S8" s="53"/>
      <c r="T8" s="53"/>
      <c r="U8" s="53"/>
      <c r="V8" s="57"/>
      <c r="W8" s="2267"/>
      <c r="X8" s="355"/>
      <c r="Y8" s="245">
        <v>2126.6570000000002</v>
      </c>
      <c r="Z8" s="245"/>
      <c r="AA8" s="245"/>
      <c r="AB8" s="245"/>
      <c r="AC8" s="457"/>
      <c r="AD8" s="342"/>
      <c r="AE8" s="427">
        <f>6.02/100*Y8+4.03/100*AB8+6.89/100*AD8</f>
        <v>128.02475140000001</v>
      </c>
      <c r="AF8" s="650"/>
      <c r="AG8" s="651"/>
      <c r="AH8" s="644">
        <f>19.19/$AH$95/100*AB8</f>
        <v>0</v>
      </c>
      <c r="AI8" s="644"/>
      <c r="AJ8" s="644">
        <f>32.89/$AJ$95/100*Y8</f>
        <v>496.06913992907812</v>
      </c>
      <c r="AK8" s="644">
        <f>23.99/$AK$95/100*AB8</f>
        <v>0</v>
      </c>
      <c r="AL8" s="644"/>
      <c r="AM8" s="645">
        <f>61.09/$AM$95/100*Y8+52.78/$AM$95/100*AB8+93.11/100/$AM$95*AD8</f>
        <v>849.13383091503283</v>
      </c>
      <c r="AN8" s="352"/>
      <c r="AO8" s="215"/>
      <c r="AP8" s="348"/>
      <c r="AQ8" s="441">
        <f>Y8*0.02/100</f>
        <v>0.42533140000000003</v>
      </c>
      <c r="AR8" s="126"/>
      <c r="AS8" s="228">
        <f>0.105*0.5*1.03*0</f>
        <v>0</v>
      </c>
      <c r="AT8" s="2285"/>
      <c r="AU8" s="152"/>
      <c r="AV8" s="134"/>
      <c r="AW8" s="56"/>
      <c r="AX8" s="140"/>
      <c r="AY8" s="56"/>
      <c r="AZ8" s="56"/>
      <c r="BA8" s="56"/>
      <c r="BB8" s="56"/>
      <c r="BC8" s="140"/>
      <c r="BD8" s="56"/>
      <c r="BE8" s="224"/>
      <c r="BF8" s="224"/>
      <c r="BG8" s="56"/>
      <c r="BH8" s="135"/>
      <c r="BI8" s="684"/>
      <c r="BJ8" s="53"/>
      <c r="BK8" s="53"/>
      <c r="BL8" s="679"/>
      <c r="BM8" s="144"/>
      <c r="BN8" s="55"/>
      <c r="BO8" s="55"/>
      <c r="BP8" s="118"/>
      <c r="BQ8" s="134"/>
      <c r="BR8" s="56"/>
      <c r="BS8" s="57"/>
      <c r="BT8" s="135"/>
      <c r="BU8" s="708"/>
      <c r="BV8" s="57"/>
      <c r="BW8" s="56"/>
      <c r="BX8" s="56"/>
      <c r="BY8" s="56"/>
      <c r="BZ8" s="135"/>
      <c r="CA8" s="152"/>
      <c r="CB8" s="135"/>
      <c r="CC8" s="2267"/>
      <c r="CD8" s="134"/>
      <c r="CE8" s="56"/>
      <c r="CF8" s="56"/>
      <c r="CG8" s="224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60"/>
      <c r="DH8" s="60"/>
      <c r="DI8" s="56"/>
      <c r="DJ8" s="60"/>
      <c r="DK8" s="60"/>
      <c r="DL8" s="60"/>
      <c r="DM8" s="60"/>
      <c r="DN8" s="60"/>
      <c r="DO8" s="60"/>
      <c r="DP8" s="60"/>
      <c r="DQ8" s="766"/>
      <c r="DR8" s="924"/>
      <c r="DS8" s="60"/>
      <c r="DT8" s="140"/>
      <c r="DU8" s="134"/>
      <c r="DV8" s="135"/>
      <c r="DW8" s="932"/>
      <c r="DX8" s="690"/>
      <c r="DY8" s="690"/>
      <c r="DZ8" s="690"/>
      <c r="EA8" s="690"/>
      <c r="EB8" s="690"/>
      <c r="EC8" s="690"/>
      <c r="ED8" s="60"/>
      <c r="EE8" s="766"/>
      <c r="EF8" s="152"/>
      <c r="EG8" s="135"/>
      <c r="EH8" s="918"/>
      <c r="EI8" s="690"/>
      <c r="EJ8" s="690"/>
      <c r="EK8" s="690"/>
      <c r="EL8" s="690"/>
      <c r="EM8" s="690"/>
      <c r="EN8" s="690"/>
      <c r="EO8" s="690"/>
      <c r="EP8" s="690"/>
      <c r="EQ8" s="690"/>
      <c r="ER8" s="690"/>
      <c r="ES8" s="690"/>
      <c r="ET8" s="690"/>
      <c r="EU8" s="690"/>
      <c r="EV8" s="690"/>
      <c r="EW8" s="690"/>
      <c r="EX8" s="60"/>
      <c r="EY8" s="690"/>
      <c r="EZ8" s="690"/>
      <c r="FA8" s="474"/>
      <c r="FB8" s="690"/>
      <c r="FC8" s="56"/>
      <c r="FD8" s="56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807"/>
      <c r="GI8" s="807"/>
      <c r="GJ8" s="807"/>
      <c r="GK8" s="807"/>
      <c r="GL8" s="807"/>
      <c r="GM8" s="169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807"/>
      <c r="IM8" s="918"/>
      <c r="IN8" s="60"/>
      <c r="IO8" s="60"/>
      <c r="IP8" s="60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  <c r="JD8" s="58"/>
      <c r="JE8" s="58"/>
      <c r="JF8" s="58"/>
      <c r="JG8" s="58"/>
      <c r="JH8" s="59"/>
      <c r="JI8" s="61"/>
      <c r="JJ8" s="58"/>
      <c r="JK8" s="58"/>
      <c r="JL8" s="58"/>
      <c r="JM8" s="61"/>
      <c r="JN8" s="169"/>
      <c r="JO8" s="61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18"/>
      <c r="KE8" s="18"/>
      <c r="KF8" s="1070"/>
      <c r="KI8" s="221"/>
    </row>
    <row r="9" spans="1:295" s="7" customFormat="1" x14ac:dyDescent="0.25">
      <c r="A9" s="1287"/>
      <c r="B9" s="409" t="s">
        <v>813</v>
      </c>
      <c r="C9" s="63">
        <f>ROUND((494638.82*90%-106923.58)*90%,2)-C17</f>
        <v>210426.21999999997</v>
      </c>
      <c r="D9" s="361">
        <f>C9/1.2</f>
        <v>175355.18333333332</v>
      </c>
      <c r="E9" s="2267"/>
      <c r="F9" s="346">
        <f>SUM(G9:K9)</f>
        <v>2.1954060150655352</v>
      </c>
      <c r="G9" s="147"/>
      <c r="H9" s="148">
        <f>4/3804.39*BF9</f>
        <v>2.1954060150655352</v>
      </c>
      <c r="I9" s="147"/>
      <c r="J9" s="147"/>
      <c r="K9" s="147"/>
      <c r="L9" s="53"/>
      <c r="M9" s="53"/>
      <c r="N9" s="149"/>
      <c r="O9" s="53"/>
      <c r="P9" s="53"/>
      <c r="Q9" s="55"/>
      <c r="R9" s="55"/>
      <c r="S9" s="53"/>
      <c r="T9" s="53"/>
      <c r="U9" s="53"/>
      <c r="V9" s="57"/>
      <c r="W9" s="2267"/>
      <c r="X9" s="355"/>
      <c r="Y9" s="245">
        <v>0</v>
      </c>
      <c r="Z9" s="245"/>
      <c r="AA9" s="245"/>
      <c r="AB9" s="245"/>
      <c r="AC9" s="457"/>
      <c r="AD9" s="342"/>
      <c r="AE9" s="427">
        <f>6.02/100*Y9+4.03/100*AB9+6.89/100*AD9</f>
        <v>0</v>
      </c>
      <c r="AF9" s="650"/>
      <c r="AG9" s="651"/>
      <c r="AH9" s="644">
        <f>19.19/$AH$95/100*AB9</f>
        <v>0</v>
      </c>
      <c r="AI9" s="644"/>
      <c r="AJ9" s="644">
        <f>32.89/$AJ$95/100*Y9</f>
        <v>0</v>
      </c>
      <c r="AK9" s="644">
        <f>23.99/$AK$95/100*AB9</f>
        <v>0</v>
      </c>
      <c r="AL9" s="644"/>
      <c r="AM9" s="645">
        <f>61.09/$AM$95/100*Y9+52.78/$AM$95/100*AB9+93.11/100/$AM$95*AD9</f>
        <v>0</v>
      </c>
      <c r="AN9" s="353"/>
      <c r="AO9" s="215"/>
      <c r="AP9" s="349"/>
      <c r="AQ9" s="441"/>
      <c r="AR9" s="126"/>
      <c r="AS9" s="228">
        <v>0</v>
      </c>
      <c r="AT9" s="2285"/>
      <c r="AU9" s="152"/>
      <c r="AV9" s="134"/>
      <c r="AW9" s="56"/>
      <c r="AX9" s="140"/>
      <c r="AY9" s="56"/>
      <c r="AZ9" s="56"/>
      <c r="BA9" s="56"/>
      <c r="BB9" s="56"/>
      <c r="BC9" s="140"/>
      <c r="BD9" s="56"/>
      <c r="BE9" s="224"/>
      <c r="BF9" s="224">
        <f>(3804.39-1324/1.45)-BF17</f>
        <v>2088.0451724137929</v>
      </c>
      <c r="BG9" s="56"/>
      <c r="BH9" s="135"/>
      <c r="BI9" s="684"/>
      <c r="BJ9" s="55"/>
      <c r="BK9" s="55"/>
      <c r="BL9" s="118"/>
      <c r="BM9" s="144"/>
      <c r="BN9" s="55"/>
      <c r="BO9" s="55"/>
      <c r="BP9" s="118"/>
      <c r="BQ9" s="134"/>
      <c r="BR9" s="56"/>
      <c r="BS9" s="57"/>
      <c r="BT9" s="135"/>
      <c r="BU9" s="708"/>
      <c r="BV9" s="57"/>
      <c r="BW9" s="56"/>
      <c r="BX9" s="56"/>
      <c r="BY9" s="56"/>
      <c r="BZ9" s="135"/>
      <c r="CA9" s="152"/>
      <c r="CB9" s="135"/>
      <c r="CC9" s="2267"/>
      <c r="CD9" s="134"/>
      <c r="CE9" s="56"/>
      <c r="CF9" s="56"/>
      <c r="CG9" s="224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60"/>
      <c r="DH9" s="60"/>
      <c r="DI9" s="56"/>
      <c r="DJ9" s="60"/>
      <c r="DK9" s="60"/>
      <c r="DL9" s="60"/>
      <c r="DM9" s="60"/>
      <c r="DN9" s="60"/>
      <c r="DO9" s="60"/>
      <c r="DP9" s="60"/>
      <c r="DQ9" s="766"/>
      <c r="DR9" s="924"/>
      <c r="DS9" s="60"/>
      <c r="DT9" s="140"/>
      <c r="DU9" s="134"/>
      <c r="DV9" s="135"/>
      <c r="DW9" s="932"/>
      <c r="DX9" s="690"/>
      <c r="DY9" s="690"/>
      <c r="DZ9" s="690"/>
      <c r="EA9" s="690"/>
      <c r="EB9" s="690"/>
      <c r="EC9" s="690"/>
      <c r="ED9" s="60"/>
      <c r="EE9" s="766"/>
      <c r="EF9" s="152"/>
      <c r="EG9" s="135"/>
      <c r="EH9" s="918"/>
      <c r="EI9" s="690"/>
      <c r="EJ9" s="690"/>
      <c r="EK9" s="690"/>
      <c r="EL9" s="690"/>
      <c r="EM9" s="690"/>
      <c r="EN9" s="690"/>
      <c r="EO9" s="690"/>
      <c r="EP9" s="690"/>
      <c r="EQ9" s="690"/>
      <c r="ER9" s="690"/>
      <c r="ES9" s="690"/>
      <c r="ET9" s="690"/>
      <c r="EU9" s="690"/>
      <c r="EV9" s="690"/>
      <c r="EW9" s="690"/>
      <c r="EX9" s="60"/>
      <c r="EY9" s="690"/>
      <c r="EZ9" s="690"/>
      <c r="FA9" s="474"/>
      <c r="FB9" s="690"/>
      <c r="FC9" s="56"/>
      <c r="FD9" s="56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807"/>
      <c r="GI9" s="807"/>
      <c r="GJ9" s="807"/>
      <c r="GK9" s="807"/>
      <c r="GL9" s="807"/>
      <c r="GM9" s="169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807"/>
      <c r="IM9" s="918"/>
      <c r="IN9" s="60"/>
      <c r="IO9" s="60"/>
      <c r="IP9" s="60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9"/>
      <c r="JI9" s="61"/>
      <c r="JJ9" s="58"/>
      <c r="JK9" s="58"/>
      <c r="JL9" s="58"/>
      <c r="JM9" s="61"/>
      <c r="JN9" s="169"/>
      <c r="JO9" s="61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18"/>
      <c r="KE9" s="18"/>
      <c r="KF9" s="1070"/>
      <c r="KI9" s="221"/>
    </row>
    <row r="10" spans="1:295" s="7" customFormat="1" x14ac:dyDescent="0.25">
      <c r="A10" s="1287"/>
      <c r="B10" s="409" t="s">
        <v>822</v>
      </c>
      <c r="C10" s="1981">
        <f>C11+C12</f>
        <v>96106.22</v>
      </c>
      <c r="D10" s="802">
        <f>D11+D12</f>
        <v>80088.516666666677</v>
      </c>
      <c r="E10" s="2267"/>
      <c r="F10" s="346">
        <f>SUM(G10:K10)</f>
        <v>0</v>
      </c>
      <c r="G10" s="147"/>
      <c r="H10" s="148"/>
      <c r="I10" s="147"/>
      <c r="J10" s="147"/>
      <c r="K10" s="147"/>
      <c r="L10" s="53"/>
      <c r="M10" s="53"/>
      <c r="N10" s="149"/>
      <c r="O10" s="53"/>
      <c r="P10" s="53"/>
      <c r="Q10" s="55"/>
      <c r="R10" s="55"/>
      <c r="S10" s="53"/>
      <c r="T10" s="53"/>
      <c r="U10" s="53"/>
      <c r="V10" s="57"/>
      <c r="W10" s="2267"/>
      <c r="X10" s="1693"/>
      <c r="Y10" s="245">
        <f>ROUND(10647/1000*(100.4+25.2*0.9),2)*0</f>
        <v>0</v>
      </c>
      <c r="Z10" s="245"/>
      <c r="AA10" s="245"/>
      <c r="AB10" s="245"/>
      <c r="AC10" s="457"/>
      <c r="AD10" s="342"/>
      <c r="AE10" s="427">
        <f>6.02/100*Y10+4.03/100*AB10+6.89/100*AD10</f>
        <v>0</v>
      </c>
      <c r="AF10" s="650"/>
      <c r="AG10" s="651"/>
      <c r="AH10" s="644">
        <f>19.19/$AH$95/100*AB10</f>
        <v>0</v>
      </c>
      <c r="AI10" s="644"/>
      <c r="AJ10" s="644">
        <f>32.89/$AJ$95/100*Y10</f>
        <v>0</v>
      </c>
      <c r="AK10" s="644">
        <f>23.99/$AK$95/100*AB10</f>
        <v>0</v>
      </c>
      <c r="AL10" s="644"/>
      <c r="AM10" s="645">
        <f>61.09/$AM$95/100*Y10+52.78/$AM$95/100*AB10+93.11/100/$AM$95*AD10</f>
        <v>0</v>
      </c>
      <c r="AN10" s="352"/>
      <c r="AO10" s="215"/>
      <c r="AP10" s="348"/>
      <c r="AQ10" s="441"/>
      <c r="AR10" s="126"/>
      <c r="AS10" s="228">
        <f>0.105*0.5*1.03*0</f>
        <v>0</v>
      </c>
      <c r="AT10" s="2285"/>
      <c r="AU10" s="152"/>
      <c r="AV10" s="134"/>
      <c r="AW10" s="56"/>
      <c r="AX10" s="140"/>
      <c r="AY10" s="56"/>
      <c r="AZ10" s="56"/>
      <c r="BA10" s="56"/>
      <c r="BB10" s="56"/>
      <c r="BC10" s="140"/>
      <c r="BD10" s="56"/>
      <c r="BE10" s="224"/>
      <c r="BF10" s="224"/>
      <c r="BG10" s="56"/>
      <c r="BH10" s="135"/>
      <c r="BI10" s="55"/>
      <c r="BJ10" s="55"/>
      <c r="BK10" s="55"/>
      <c r="BL10" s="118"/>
      <c r="BM10" s="134"/>
      <c r="BN10" s="55"/>
      <c r="BO10" s="55"/>
      <c r="BP10" s="118"/>
      <c r="BQ10" s="134"/>
      <c r="BR10" s="56"/>
      <c r="BS10" s="57"/>
      <c r="BT10" s="135"/>
      <c r="BU10" s="708"/>
      <c r="BV10" s="57"/>
      <c r="BW10" s="56"/>
      <c r="BX10" s="56"/>
      <c r="BY10" s="56"/>
      <c r="BZ10" s="135"/>
      <c r="CA10" s="152"/>
      <c r="CB10" s="135"/>
      <c r="CC10" s="2267"/>
      <c r="CD10" s="134"/>
      <c r="CE10" s="56"/>
      <c r="CF10" s="56"/>
      <c r="CG10" s="224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60"/>
      <c r="DH10" s="60"/>
      <c r="DI10" s="56"/>
      <c r="DJ10" s="60"/>
      <c r="DK10" s="60">
        <f>ФРЕЗА!F4</f>
        <v>796.37740005719206</v>
      </c>
      <c r="DL10" s="60"/>
      <c r="DM10" s="60"/>
      <c r="DN10" s="60"/>
      <c r="DO10" s="60"/>
      <c r="DP10" s="60"/>
      <c r="DQ10" s="766"/>
      <c r="DR10" s="924"/>
      <c r="DS10" s="60"/>
      <c r="DT10" s="140"/>
      <c r="DU10" s="134"/>
      <c r="DV10" s="135"/>
      <c r="DW10" s="932"/>
      <c r="DX10" s="690"/>
      <c r="DY10" s="690"/>
      <c r="DZ10" s="690"/>
      <c r="EA10" s="690"/>
      <c r="EB10" s="690"/>
      <c r="EC10" s="690"/>
      <c r="ED10" s="60"/>
      <c r="EE10" s="766"/>
      <c r="EF10" s="152"/>
      <c r="EG10" s="135"/>
      <c r="EH10" s="918"/>
      <c r="EI10" s="690"/>
      <c r="EJ10" s="690"/>
      <c r="EK10" s="690"/>
      <c r="EL10" s="690"/>
      <c r="EM10" s="690"/>
      <c r="EN10" s="690"/>
      <c r="EO10" s="690"/>
      <c r="EP10" s="690"/>
      <c r="EQ10" s="690"/>
      <c r="ER10" s="690"/>
      <c r="ES10" s="690"/>
      <c r="ET10" s="690"/>
      <c r="EU10" s="690"/>
      <c r="EV10" s="690"/>
      <c r="EW10" s="690"/>
      <c r="EX10" s="60"/>
      <c r="EY10" s="690"/>
      <c r="EZ10" s="690"/>
      <c r="FA10" s="474"/>
      <c r="FB10" s="690"/>
      <c r="FC10" s="56"/>
      <c r="FD10" s="56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807"/>
      <c r="GI10" s="807"/>
      <c r="GJ10" s="807"/>
      <c r="GK10" s="807"/>
      <c r="GL10" s="807"/>
      <c r="GM10" s="169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807"/>
      <c r="IM10" s="918"/>
      <c r="IN10" s="60"/>
      <c r="IO10" s="60"/>
      <c r="IP10" s="60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9"/>
      <c r="JI10" s="61"/>
      <c r="JJ10" s="58"/>
      <c r="JK10" s="58"/>
      <c r="JL10" s="58"/>
      <c r="JM10" s="61"/>
      <c r="JN10" s="169"/>
      <c r="JO10" s="61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18"/>
      <c r="KE10" s="18"/>
      <c r="KF10" s="1070"/>
      <c r="KI10" s="221"/>
    </row>
    <row r="11" spans="1:295" s="1745" customFormat="1" ht="11.25" hidden="1" x14ac:dyDescent="0.2">
      <c r="A11" s="1700"/>
      <c r="B11" s="1749" t="s">
        <v>863</v>
      </c>
      <c r="C11" s="1750">
        <f>ROUND((343122.12-217493.08)*90%*0.85,2)</f>
        <v>96106.22</v>
      </c>
      <c r="D11" s="1751">
        <f>C11/1.2</f>
        <v>80088.516666666677</v>
      </c>
      <c r="E11" s="2267"/>
      <c r="F11" s="1702"/>
      <c r="G11" s="1703"/>
      <c r="H11" s="1704"/>
      <c r="I11" s="1703"/>
      <c r="J11" s="1703"/>
      <c r="K11" s="1703"/>
      <c r="L11" s="1705"/>
      <c r="M11" s="1705"/>
      <c r="N11" s="1706"/>
      <c r="O11" s="1705"/>
      <c r="P11" s="1705"/>
      <c r="Q11" s="1707"/>
      <c r="R11" s="1707"/>
      <c r="S11" s="1705"/>
      <c r="T11" s="1705"/>
      <c r="U11" s="1705"/>
      <c r="V11" s="1708"/>
      <c r="W11" s="2267"/>
      <c r="X11" s="1709"/>
      <c r="Y11" s="1710"/>
      <c r="Z11" s="1710"/>
      <c r="AA11" s="1710"/>
      <c r="AB11" s="1710"/>
      <c r="AC11" s="1711"/>
      <c r="AD11" s="1712"/>
      <c r="AE11" s="1713"/>
      <c r="AF11" s="1714"/>
      <c r="AG11" s="1715"/>
      <c r="AH11" s="1716"/>
      <c r="AI11" s="1716"/>
      <c r="AJ11" s="1716"/>
      <c r="AK11" s="1716"/>
      <c r="AL11" s="1716"/>
      <c r="AM11" s="1717"/>
      <c r="AN11" s="1718"/>
      <c r="AO11" s="1719"/>
      <c r="AP11" s="1720"/>
      <c r="AQ11" s="1721"/>
      <c r="AR11" s="1722"/>
      <c r="AS11" s="1723"/>
      <c r="AT11" s="2285"/>
      <c r="AU11" s="1724"/>
      <c r="AV11" s="1725"/>
      <c r="AW11" s="1726"/>
      <c r="AX11" s="1727"/>
      <c r="AY11" s="1726"/>
      <c r="AZ11" s="1726"/>
      <c r="BA11" s="1726"/>
      <c r="BB11" s="1726"/>
      <c r="BC11" s="1727"/>
      <c r="BD11" s="1726"/>
      <c r="BE11" s="1711"/>
      <c r="BF11" s="1711"/>
      <c r="BG11" s="1726"/>
      <c r="BH11" s="1728"/>
      <c r="BI11" s="1707"/>
      <c r="BJ11" s="1707"/>
      <c r="BK11" s="1707"/>
      <c r="BL11" s="1729"/>
      <c r="BM11" s="1725"/>
      <c r="BN11" s="1707"/>
      <c r="BO11" s="1707"/>
      <c r="BP11" s="1729"/>
      <c r="BQ11" s="1725"/>
      <c r="BR11" s="1726"/>
      <c r="BS11" s="1708"/>
      <c r="BT11" s="1728"/>
      <c r="BU11" s="1730"/>
      <c r="BV11" s="1708"/>
      <c r="BW11" s="1726"/>
      <c r="BX11" s="1726"/>
      <c r="BY11" s="1726"/>
      <c r="BZ11" s="1728"/>
      <c r="CA11" s="1724"/>
      <c r="CB11" s="1728"/>
      <c r="CC11" s="2267"/>
      <c r="CD11" s="1725"/>
      <c r="CE11" s="1726"/>
      <c r="CF11" s="1726"/>
      <c r="CG11" s="1711"/>
      <c r="CH11" s="1726"/>
      <c r="CI11" s="1726"/>
      <c r="CJ11" s="1726"/>
      <c r="CK11" s="1726"/>
      <c r="CL11" s="1726"/>
      <c r="CM11" s="1726"/>
      <c r="CN11" s="1726"/>
      <c r="CO11" s="1726"/>
      <c r="CP11" s="1726"/>
      <c r="CQ11" s="1726"/>
      <c r="CR11" s="1726"/>
      <c r="CS11" s="1726"/>
      <c r="CT11" s="1726"/>
      <c r="CU11" s="1726"/>
      <c r="CV11" s="1726"/>
      <c r="CW11" s="1726"/>
      <c r="CX11" s="1726"/>
      <c r="CY11" s="1726"/>
      <c r="CZ11" s="1726"/>
      <c r="DA11" s="1726"/>
      <c r="DB11" s="1726"/>
      <c r="DC11" s="1726"/>
      <c r="DD11" s="1726"/>
      <c r="DE11" s="1726"/>
      <c r="DF11" s="1726"/>
      <c r="DG11" s="1731"/>
      <c r="DH11" s="1731"/>
      <c r="DI11" s="1726"/>
      <c r="DJ11" s="1731"/>
      <c r="DK11" s="1731"/>
      <c r="DL11" s="1731"/>
      <c r="DM11" s="1731"/>
      <c r="DN11" s="1731"/>
      <c r="DO11" s="1731"/>
      <c r="DP11" s="1731"/>
      <c r="DQ11" s="1732"/>
      <c r="DR11" s="1733"/>
      <c r="DS11" s="1731"/>
      <c r="DT11" s="1727"/>
      <c r="DU11" s="1725"/>
      <c r="DV11" s="1728"/>
      <c r="DW11" s="1734"/>
      <c r="DX11" s="1716"/>
      <c r="DY11" s="1716"/>
      <c r="DZ11" s="1716"/>
      <c r="EA11" s="1716"/>
      <c r="EB11" s="1716"/>
      <c r="EC11" s="1716"/>
      <c r="ED11" s="1731"/>
      <c r="EE11" s="1732"/>
      <c r="EF11" s="1724"/>
      <c r="EG11" s="1728"/>
      <c r="EH11" s="1735"/>
      <c r="EI11" s="1716"/>
      <c r="EJ11" s="1716"/>
      <c r="EK11" s="1716"/>
      <c r="EL11" s="1716"/>
      <c r="EM11" s="1716"/>
      <c r="EN11" s="1716"/>
      <c r="EO11" s="1716"/>
      <c r="EP11" s="1716"/>
      <c r="EQ11" s="1716"/>
      <c r="ER11" s="1716"/>
      <c r="ES11" s="1716"/>
      <c r="ET11" s="1716"/>
      <c r="EU11" s="1716"/>
      <c r="EV11" s="1716"/>
      <c r="EW11" s="1716"/>
      <c r="EX11" s="1731"/>
      <c r="EY11" s="1716"/>
      <c r="EZ11" s="1716"/>
      <c r="FA11" s="1736"/>
      <c r="FB11" s="1716"/>
      <c r="FC11" s="1726"/>
      <c r="FD11" s="1726"/>
      <c r="FE11" s="1731"/>
      <c r="FF11" s="1731"/>
      <c r="FG11" s="1731"/>
      <c r="FH11" s="1731"/>
      <c r="FI11" s="1731"/>
      <c r="FJ11" s="1731"/>
      <c r="FK11" s="1731"/>
      <c r="FL11" s="1731"/>
      <c r="FM11" s="1731"/>
      <c r="FN11" s="1731"/>
      <c r="FO11" s="1731"/>
      <c r="FP11" s="1731"/>
      <c r="FQ11" s="1731"/>
      <c r="FR11" s="1731"/>
      <c r="FS11" s="1731"/>
      <c r="FT11" s="1731"/>
      <c r="FU11" s="1731"/>
      <c r="FV11" s="1731"/>
      <c r="FW11" s="1731"/>
      <c r="FX11" s="1731"/>
      <c r="FY11" s="1731"/>
      <c r="FZ11" s="1731"/>
      <c r="GA11" s="1731"/>
      <c r="GB11" s="1731"/>
      <c r="GC11" s="1731"/>
      <c r="GD11" s="1731"/>
      <c r="GE11" s="1731"/>
      <c r="GF11" s="1731"/>
      <c r="GG11" s="1731"/>
      <c r="GH11" s="1737"/>
      <c r="GI11" s="1737"/>
      <c r="GJ11" s="1737"/>
      <c r="GK11" s="1737"/>
      <c r="GL11" s="1737"/>
      <c r="GM11" s="1741"/>
      <c r="GN11" s="1731"/>
      <c r="GO11" s="1731"/>
      <c r="GP11" s="1731"/>
      <c r="GQ11" s="1731"/>
      <c r="GR11" s="1731"/>
      <c r="GS11" s="1731"/>
      <c r="GT11" s="1731"/>
      <c r="GU11" s="1731"/>
      <c r="GV11" s="1731"/>
      <c r="GW11" s="1731"/>
      <c r="GX11" s="1731"/>
      <c r="GY11" s="1731"/>
      <c r="GZ11" s="1731"/>
      <c r="HA11" s="1731"/>
      <c r="HB11" s="1731"/>
      <c r="HC11" s="1731"/>
      <c r="HD11" s="1731"/>
      <c r="HE11" s="1731"/>
      <c r="HF11" s="1731"/>
      <c r="HG11" s="1731"/>
      <c r="HH11" s="1731"/>
      <c r="HI11" s="1731"/>
      <c r="HJ11" s="1731"/>
      <c r="HK11" s="1731"/>
      <c r="HL11" s="1731"/>
      <c r="HM11" s="1731"/>
      <c r="HN11" s="1731"/>
      <c r="HO11" s="1731"/>
      <c r="HP11" s="1731"/>
      <c r="HQ11" s="1731"/>
      <c r="HR11" s="1731"/>
      <c r="HS11" s="1731"/>
      <c r="HT11" s="1731"/>
      <c r="HU11" s="1731"/>
      <c r="HV11" s="1731"/>
      <c r="HW11" s="1731"/>
      <c r="HX11" s="1731"/>
      <c r="HY11" s="1731"/>
      <c r="HZ11" s="1731"/>
      <c r="IA11" s="1731"/>
      <c r="IB11" s="1731"/>
      <c r="IC11" s="1731"/>
      <c r="ID11" s="1731"/>
      <c r="IE11" s="1731"/>
      <c r="IF11" s="1731"/>
      <c r="IG11" s="1731"/>
      <c r="IH11" s="1731"/>
      <c r="II11" s="1731"/>
      <c r="IJ11" s="1731"/>
      <c r="IK11" s="1731"/>
      <c r="IL11" s="1737"/>
      <c r="IM11" s="1735"/>
      <c r="IN11" s="1731"/>
      <c r="IO11" s="1731"/>
      <c r="IP11" s="1731"/>
      <c r="IQ11" s="1738"/>
      <c r="IR11" s="1738"/>
      <c r="IS11" s="1738"/>
      <c r="IT11" s="1738"/>
      <c r="IU11" s="1738"/>
      <c r="IV11" s="1738"/>
      <c r="IW11" s="1738"/>
      <c r="IX11" s="1738"/>
      <c r="IY11" s="1738"/>
      <c r="IZ11" s="1738"/>
      <c r="JA11" s="1738"/>
      <c r="JB11" s="1738"/>
      <c r="JC11" s="1738"/>
      <c r="JD11" s="1738"/>
      <c r="JE11" s="1738"/>
      <c r="JF11" s="1738"/>
      <c r="JG11" s="1738"/>
      <c r="JH11" s="1739"/>
      <c r="JI11" s="1740"/>
      <c r="JJ11" s="1738"/>
      <c r="JK11" s="1738"/>
      <c r="JL11" s="1738"/>
      <c r="JM11" s="1740"/>
      <c r="JN11" s="1741"/>
      <c r="JO11" s="1740"/>
      <c r="JP11" s="1742"/>
      <c r="JQ11" s="1742"/>
      <c r="JR11" s="1742"/>
      <c r="JS11" s="1742"/>
      <c r="JT11" s="1742"/>
      <c r="JU11" s="1742"/>
      <c r="JV11" s="1742"/>
      <c r="JW11" s="1742"/>
      <c r="JX11" s="1742"/>
      <c r="JY11" s="1742"/>
      <c r="JZ11" s="1742"/>
      <c r="KA11" s="1742"/>
      <c r="KB11" s="1742"/>
      <c r="KC11" s="1742"/>
      <c r="KD11" s="1743"/>
      <c r="KE11" s="1743"/>
      <c r="KF11" s="1744"/>
      <c r="KI11" s="1746"/>
    </row>
    <row r="12" spans="1:295" s="1745" customFormat="1" ht="11.25" hidden="1" customHeight="1" x14ac:dyDescent="0.2">
      <c r="A12" s="1700"/>
      <c r="B12" s="1701" t="s">
        <v>823</v>
      </c>
      <c r="C12" s="1747">
        <f>ROUND(553698.34/15676.02*10647*90%*0.95,2)*0</f>
        <v>0</v>
      </c>
      <c r="D12" s="1748">
        <f>C12/1.2</f>
        <v>0</v>
      </c>
      <c r="E12" s="2267"/>
      <c r="F12" s="1702"/>
      <c r="G12" s="1703"/>
      <c r="H12" s="1704"/>
      <c r="I12" s="1703"/>
      <c r="J12" s="1703"/>
      <c r="K12" s="1703"/>
      <c r="L12" s="1705"/>
      <c r="M12" s="1705"/>
      <c r="N12" s="1706"/>
      <c r="O12" s="1705"/>
      <c r="P12" s="1705"/>
      <c r="Q12" s="1707"/>
      <c r="R12" s="1707"/>
      <c r="S12" s="1705"/>
      <c r="T12" s="1705"/>
      <c r="U12" s="1705"/>
      <c r="V12" s="1708"/>
      <c r="W12" s="2267"/>
      <c r="X12" s="1709"/>
      <c r="Y12" s="1710"/>
      <c r="Z12" s="1710"/>
      <c r="AA12" s="1710"/>
      <c r="AB12" s="1710"/>
      <c r="AC12" s="1711"/>
      <c r="AD12" s="1712"/>
      <c r="AE12" s="1713"/>
      <c r="AF12" s="1714"/>
      <c r="AG12" s="1715"/>
      <c r="AH12" s="1716"/>
      <c r="AI12" s="1716"/>
      <c r="AJ12" s="1716"/>
      <c r="AK12" s="1716"/>
      <c r="AL12" s="1716"/>
      <c r="AM12" s="1717"/>
      <c r="AN12" s="1718"/>
      <c r="AO12" s="1719"/>
      <c r="AP12" s="1720"/>
      <c r="AQ12" s="1721"/>
      <c r="AR12" s="1722"/>
      <c r="AS12" s="1723"/>
      <c r="AT12" s="2285"/>
      <c r="AU12" s="1724"/>
      <c r="AV12" s="1725"/>
      <c r="AW12" s="1726"/>
      <c r="AX12" s="1727"/>
      <c r="AY12" s="1726"/>
      <c r="AZ12" s="1726"/>
      <c r="BA12" s="1726"/>
      <c r="BB12" s="1726"/>
      <c r="BC12" s="1727"/>
      <c r="BD12" s="1726"/>
      <c r="BE12" s="1711"/>
      <c r="BF12" s="1711"/>
      <c r="BG12" s="1726"/>
      <c r="BH12" s="1728"/>
      <c r="BI12" s="1707"/>
      <c r="BJ12" s="1707"/>
      <c r="BK12" s="1707"/>
      <c r="BL12" s="1729"/>
      <c r="BM12" s="1725"/>
      <c r="BN12" s="1707"/>
      <c r="BO12" s="1707"/>
      <c r="BP12" s="1729"/>
      <c r="BQ12" s="1725"/>
      <c r="BR12" s="1726"/>
      <c r="BS12" s="1708"/>
      <c r="BT12" s="1728"/>
      <c r="BU12" s="1730"/>
      <c r="BV12" s="1708"/>
      <c r="BW12" s="1726"/>
      <c r="BX12" s="1726"/>
      <c r="BY12" s="1726"/>
      <c r="BZ12" s="1728"/>
      <c r="CA12" s="1724"/>
      <c r="CB12" s="1728"/>
      <c r="CC12" s="2267"/>
      <c r="CD12" s="1725"/>
      <c r="CE12" s="1726"/>
      <c r="CF12" s="1726"/>
      <c r="CG12" s="1711"/>
      <c r="CH12" s="1726"/>
      <c r="CI12" s="1726"/>
      <c r="CJ12" s="1726"/>
      <c r="CK12" s="1726"/>
      <c r="CL12" s="1726"/>
      <c r="CM12" s="1726"/>
      <c r="CN12" s="1726"/>
      <c r="CO12" s="1726"/>
      <c r="CP12" s="1726"/>
      <c r="CQ12" s="1726"/>
      <c r="CR12" s="1726"/>
      <c r="CS12" s="1726"/>
      <c r="CT12" s="1726"/>
      <c r="CU12" s="1726"/>
      <c r="CV12" s="1726"/>
      <c r="CW12" s="1726"/>
      <c r="CX12" s="1726"/>
      <c r="CY12" s="1726"/>
      <c r="CZ12" s="1726"/>
      <c r="DA12" s="1726"/>
      <c r="DB12" s="1726"/>
      <c r="DC12" s="1726"/>
      <c r="DD12" s="1726"/>
      <c r="DE12" s="1726"/>
      <c r="DF12" s="1726"/>
      <c r="DG12" s="1731"/>
      <c r="DH12" s="1731"/>
      <c r="DI12" s="1726"/>
      <c r="DJ12" s="1731"/>
      <c r="DK12" s="1731"/>
      <c r="DL12" s="1731"/>
      <c r="DM12" s="1731"/>
      <c r="DN12" s="1731"/>
      <c r="DO12" s="1731"/>
      <c r="DP12" s="1731"/>
      <c r="DQ12" s="1732"/>
      <c r="DR12" s="1733"/>
      <c r="DS12" s="1731"/>
      <c r="DT12" s="1727"/>
      <c r="DU12" s="1725"/>
      <c r="DV12" s="1728"/>
      <c r="DW12" s="1734"/>
      <c r="DX12" s="1716"/>
      <c r="DY12" s="1716"/>
      <c r="DZ12" s="1716"/>
      <c r="EA12" s="1716"/>
      <c r="EB12" s="1716"/>
      <c r="EC12" s="1716"/>
      <c r="ED12" s="1731"/>
      <c r="EE12" s="1732"/>
      <c r="EF12" s="1724"/>
      <c r="EG12" s="1728"/>
      <c r="EH12" s="1735"/>
      <c r="EI12" s="1716"/>
      <c r="EJ12" s="1716"/>
      <c r="EK12" s="1716"/>
      <c r="EL12" s="1716"/>
      <c r="EM12" s="1716"/>
      <c r="EN12" s="1716"/>
      <c r="EO12" s="1716"/>
      <c r="EP12" s="1716"/>
      <c r="EQ12" s="1716"/>
      <c r="ER12" s="1716"/>
      <c r="ES12" s="1716"/>
      <c r="ET12" s="1716"/>
      <c r="EU12" s="1716"/>
      <c r="EV12" s="1716"/>
      <c r="EW12" s="1716"/>
      <c r="EX12" s="1731"/>
      <c r="EY12" s="1716"/>
      <c r="EZ12" s="1716"/>
      <c r="FA12" s="1736"/>
      <c r="FB12" s="1716"/>
      <c r="FC12" s="1726"/>
      <c r="FD12" s="1726"/>
      <c r="FE12" s="1731"/>
      <c r="FF12" s="1731"/>
      <c r="FG12" s="1731"/>
      <c r="FH12" s="1731"/>
      <c r="FI12" s="1731"/>
      <c r="FJ12" s="1731"/>
      <c r="FK12" s="1731"/>
      <c r="FL12" s="1731"/>
      <c r="FM12" s="1731"/>
      <c r="FN12" s="1731"/>
      <c r="FO12" s="1731"/>
      <c r="FP12" s="1731"/>
      <c r="FQ12" s="1731"/>
      <c r="FR12" s="1731"/>
      <c r="FS12" s="1731"/>
      <c r="FT12" s="1731"/>
      <c r="FU12" s="1731"/>
      <c r="FV12" s="1731"/>
      <c r="FW12" s="1731"/>
      <c r="FX12" s="1731"/>
      <c r="FY12" s="1731"/>
      <c r="FZ12" s="1731"/>
      <c r="GA12" s="1731"/>
      <c r="GB12" s="1731"/>
      <c r="GC12" s="1731"/>
      <c r="GD12" s="1731"/>
      <c r="GE12" s="1731"/>
      <c r="GF12" s="1731"/>
      <c r="GG12" s="1731"/>
      <c r="GH12" s="1737"/>
      <c r="GI12" s="1737"/>
      <c r="GJ12" s="1737"/>
      <c r="GK12" s="1737"/>
      <c r="GL12" s="1737"/>
      <c r="GM12" s="1741"/>
      <c r="GN12" s="1731"/>
      <c r="GO12" s="1731"/>
      <c r="GP12" s="1731"/>
      <c r="GQ12" s="1731"/>
      <c r="GR12" s="1731"/>
      <c r="GS12" s="1731"/>
      <c r="GT12" s="1731"/>
      <c r="GU12" s="1731"/>
      <c r="GV12" s="1731"/>
      <c r="GW12" s="1731"/>
      <c r="GX12" s="1731"/>
      <c r="GY12" s="1731"/>
      <c r="GZ12" s="1731"/>
      <c r="HA12" s="1731"/>
      <c r="HB12" s="1731"/>
      <c r="HC12" s="1731"/>
      <c r="HD12" s="1731"/>
      <c r="HE12" s="1731"/>
      <c r="HF12" s="1731"/>
      <c r="HG12" s="1731"/>
      <c r="HH12" s="1731"/>
      <c r="HI12" s="1731"/>
      <c r="HJ12" s="1731"/>
      <c r="HK12" s="1731"/>
      <c r="HL12" s="1731"/>
      <c r="HM12" s="1731"/>
      <c r="HN12" s="1731"/>
      <c r="HO12" s="1731"/>
      <c r="HP12" s="1731"/>
      <c r="HQ12" s="1731"/>
      <c r="HR12" s="1731"/>
      <c r="HS12" s="1731"/>
      <c r="HT12" s="1731"/>
      <c r="HU12" s="1731"/>
      <c r="HV12" s="1731"/>
      <c r="HW12" s="1731"/>
      <c r="HX12" s="1731"/>
      <c r="HY12" s="1731"/>
      <c r="HZ12" s="1731"/>
      <c r="IA12" s="1731"/>
      <c r="IB12" s="1731"/>
      <c r="IC12" s="1731"/>
      <c r="ID12" s="1731"/>
      <c r="IE12" s="1731"/>
      <c r="IF12" s="1731"/>
      <c r="IG12" s="1731"/>
      <c r="IH12" s="1731"/>
      <c r="II12" s="1731"/>
      <c r="IJ12" s="1731"/>
      <c r="IK12" s="1731"/>
      <c r="IL12" s="1737"/>
      <c r="IM12" s="1735"/>
      <c r="IN12" s="1731"/>
      <c r="IO12" s="1731"/>
      <c r="IP12" s="1731"/>
      <c r="IQ12" s="1738"/>
      <c r="IR12" s="1738"/>
      <c r="IS12" s="1738"/>
      <c r="IT12" s="1738"/>
      <c r="IU12" s="1738"/>
      <c r="IV12" s="1738"/>
      <c r="IW12" s="1738"/>
      <c r="IX12" s="1738"/>
      <c r="IY12" s="1738"/>
      <c r="IZ12" s="1738"/>
      <c r="JA12" s="1738"/>
      <c r="JB12" s="1738"/>
      <c r="JC12" s="1738"/>
      <c r="JD12" s="1738"/>
      <c r="JE12" s="1738"/>
      <c r="JF12" s="1738"/>
      <c r="JG12" s="1738"/>
      <c r="JH12" s="1739"/>
      <c r="JI12" s="1740"/>
      <c r="JJ12" s="1738"/>
      <c r="JK12" s="1738"/>
      <c r="JL12" s="1738"/>
      <c r="JM12" s="1740"/>
      <c r="JN12" s="1741"/>
      <c r="JO12" s="1740"/>
      <c r="JP12" s="1742"/>
      <c r="JQ12" s="1742"/>
      <c r="JR12" s="1742"/>
      <c r="JS12" s="1742"/>
      <c r="JT12" s="1742"/>
      <c r="JU12" s="1742"/>
      <c r="JV12" s="1742"/>
      <c r="JW12" s="1742"/>
      <c r="JX12" s="1742"/>
      <c r="JY12" s="1742"/>
      <c r="JZ12" s="1742"/>
      <c r="KA12" s="1742"/>
      <c r="KB12" s="1742"/>
      <c r="KC12" s="1742"/>
      <c r="KD12" s="1743"/>
      <c r="KE12" s="1743"/>
      <c r="KF12" s="1744"/>
      <c r="KI12" s="1746"/>
    </row>
    <row r="13" spans="1:295" s="7" customFormat="1" ht="26.25" x14ac:dyDescent="0.25">
      <c r="A13" s="1287"/>
      <c r="B13" s="409" t="s">
        <v>829</v>
      </c>
      <c r="C13" s="90">
        <f>ROUND(180943.64*90%*0.9,2)</f>
        <v>146564.35</v>
      </c>
      <c r="D13" s="361">
        <f>C13/1.2</f>
        <v>122136.95833333334</v>
      </c>
      <c r="E13" s="2267"/>
      <c r="F13" s="346">
        <f>SUM(G13:K13)</f>
        <v>0</v>
      </c>
      <c r="G13" s="147"/>
      <c r="H13" s="148"/>
      <c r="I13" s="147"/>
      <c r="J13" s="147"/>
      <c r="K13" s="147"/>
      <c r="L13" s="53"/>
      <c r="M13" s="53"/>
      <c r="N13" s="149"/>
      <c r="O13" s="53"/>
      <c r="P13" s="53"/>
      <c r="Q13" s="55"/>
      <c r="R13" s="55"/>
      <c r="S13" s="53"/>
      <c r="T13" s="53"/>
      <c r="U13" s="53"/>
      <c r="V13" s="57"/>
      <c r="W13" s="2267"/>
      <c r="X13" s="1693"/>
      <c r="Y13" s="661"/>
      <c r="Z13" s="661"/>
      <c r="AA13" s="661"/>
      <c r="AB13" s="661"/>
      <c r="AC13" s="224"/>
      <c r="AD13" s="1694"/>
      <c r="AE13" s="1695"/>
      <c r="AF13" s="761"/>
      <c r="AG13" s="1223"/>
      <c r="AH13" s="690"/>
      <c r="AI13" s="690"/>
      <c r="AJ13" s="690"/>
      <c r="AK13" s="690"/>
      <c r="AL13" s="690"/>
      <c r="AM13" s="1696"/>
      <c r="AN13" s="1697"/>
      <c r="AO13" s="1220"/>
      <c r="AP13" s="1698"/>
      <c r="AQ13" s="1229"/>
      <c r="AR13" s="1230"/>
      <c r="AS13" s="1699"/>
      <c r="AT13" s="2285"/>
      <c r="AU13" s="152"/>
      <c r="AV13" s="134"/>
      <c r="AW13" s="56"/>
      <c r="AX13" s="140"/>
      <c r="AY13" s="56"/>
      <c r="AZ13" s="56"/>
      <c r="BA13" s="56"/>
      <c r="BB13" s="56"/>
      <c r="BC13" s="140"/>
      <c r="BD13" s="56"/>
      <c r="BE13" s="224"/>
      <c r="BF13" s="224"/>
      <c r="BG13" s="56"/>
      <c r="BH13" s="135"/>
      <c r="BI13" s="55"/>
      <c r="BJ13" s="55"/>
      <c r="BK13" s="55"/>
      <c r="BL13" s="118"/>
      <c r="BM13" s="134"/>
      <c r="BN13" s="55"/>
      <c r="BO13" s="55"/>
      <c r="BP13" s="118"/>
      <c r="BQ13" s="134"/>
      <c r="BR13" s="56"/>
      <c r="BS13" s="57"/>
      <c r="BT13" s="135"/>
      <c r="BU13" s="708"/>
      <c r="BV13" s="57"/>
      <c r="BW13" s="56"/>
      <c r="BX13" s="56"/>
      <c r="BY13" s="56"/>
      <c r="BZ13" s="135"/>
      <c r="CA13" s="152"/>
      <c r="CB13" s="135"/>
      <c r="CC13" s="2267"/>
      <c r="CD13" s="134"/>
      <c r="CE13" s="56"/>
      <c r="CF13" s="56"/>
      <c r="CG13" s="224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60"/>
      <c r="DH13" s="60"/>
      <c r="DI13" s="56"/>
      <c r="DJ13" s="60"/>
      <c r="DK13" s="60">
        <f>ФРЕЗА!F5</f>
        <v>1488.2718843190512</v>
      </c>
      <c r="DL13" s="60"/>
      <c r="DM13" s="60"/>
      <c r="DN13" s="60"/>
      <c r="DO13" s="60"/>
      <c r="DP13" s="60"/>
      <c r="DQ13" s="766"/>
      <c r="DR13" s="924"/>
      <c r="DS13" s="60"/>
      <c r="DT13" s="140"/>
      <c r="DU13" s="134"/>
      <c r="DV13" s="135"/>
      <c r="DW13" s="932"/>
      <c r="DX13" s="690"/>
      <c r="DY13" s="690"/>
      <c r="DZ13" s="690"/>
      <c r="EA13" s="690"/>
      <c r="EB13" s="690"/>
      <c r="EC13" s="690"/>
      <c r="ED13" s="60"/>
      <c r="EE13" s="766"/>
      <c r="EF13" s="152"/>
      <c r="EG13" s="135"/>
      <c r="EH13" s="918"/>
      <c r="EI13" s="690"/>
      <c r="EJ13" s="690"/>
      <c r="EK13" s="690"/>
      <c r="EL13" s="690"/>
      <c r="EM13" s="690"/>
      <c r="EN13" s="690"/>
      <c r="EO13" s="690"/>
      <c r="EP13" s="690"/>
      <c r="EQ13" s="690"/>
      <c r="ER13" s="690"/>
      <c r="ES13" s="690"/>
      <c r="ET13" s="690"/>
      <c r="EU13" s="690"/>
      <c r="EV13" s="690"/>
      <c r="EW13" s="690"/>
      <c r="EX13" s="60"/>
      <c r="EY13" s="690"/>
      <c r="EZ13" s="690"/>
      <c r="FA13" s="474"/>
      <c r="FB13" s="690"/>
      <c r="FC13" s="56"/>
      <c r="FD13" s="56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807"/>
      <c r="GI13" s="807"/>
      <c r="GJ13" s="807"/>
      <c r="GK13" s="807"/>
      <c r="GL13" s="807"/>
      <c r="GM13" s="169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807"/>
      <c r="IM13" s="918"/>
      <c r="IN13" s="60"/>
      <c r="IO13" s="60"/>
      <c r="IP13" s="60"/>
      <c r="IQ13" s="58"/>
      <c r="IR13" s="58"/>
      <c r="IS13" s="58"/>
      <c r="IT13" s="58"/>
      <c r="IU13" s="58"/>
      <c r="IV13" s="58"/>
      <c r="IW13" s="58"/>
      <c r="IX13" s="58"/>
      <c r="IY13" s="58"/>
      <c r="IZ13" s="58"/>
      <c r="JA13" s="58"/>
      <c r="JB13" s="58"/>
      <c r="JC13" s="58"/>
      <c r="JD13" s="58"/>
      <c r="JE13" s="58"/>
      <c r="JF13" s="58"/>
      <c r="JG13" s="58"/>
      <c r="JH13" s="59"/>
      <c r="JI13" s="61"/>
      <c r="JJ13" s="58"/>
      <c r="JK13" s="58"/>
      <c r="JL13" s="58"/>
      <c r="JM13" s="61"/>
      <c r="JN13" s="169"/>
      <c r="JO13" s="61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  <c r="KD13" s="18"/>
      <c r="KE13" s="18"/>
      <c r="KF13" s="1070"/>
      <c r="KI13" s="221"/>
    </row>
    <row r="14" spans="1:295" s="7" customFormat="1" x14ac:dyDescent="0.25">
      <c r="A14" s="1287"/>
      <c r="B14" s="409"/>
      <c r="C14" s="90"/>
      <c r="D14" s="359"/>
      <c r="E14" s="2267"/>
      <c r="F14" s="346"/>
      <c r="G14" s="147"/>
      <c r="H14" s="148"/>
      <c r="I14" s="147"/>
      <c r="J14" s="147"/>
      <c r="K14" s="147"/>
      <c r="L14" s="53"/>
      <c r="M14" s="53"/>
      <c r="N14" s="149"/>
      <c r="O14" s="53"/>
      <c r="P14" s="53"/>
      <c r="Q14" s="55"/>
      <c r="R14" s="55"/>
      <c r="S14" s="53"/>
      <c r="T14" s="53"/>
      <c r="U14" s="53"/>
      <c r="V14" s="57"/>
      <c r="W14" s="2267"/>
      <c r="X14" s="1693"/>
      <c r="Y14" s="661"/>
      <c r="Z14" s="661"/>
      <c r="AA14" s="661"/>
      <c r="AB14" s="661"/>
      <c r="AC14" s="224"/>
      <c r="AD14" s="1694"/>
      <c r="AE14" s="1695"/>
      <c r="AF14" s="761"/>
      <c r="AG14" s="1223"/>
      <c r="AH14" s="690"/>
      <c r="AI14" s="690"/>
      <c r="AJ14" s="690"/>
      <c r="AK14" s="690"/>
      <c r="AL14" s="690"/>
      <c r="AM14" s="1696"/>
      <c r="AN14" s="1697"/>
      <c r="AO14" s="1220"/>
      <c r="AP14" s="1698"/>
      <c r="AQ14" s="1229"/>
      <c r="AR14" s="1230"/>
      <c r="AS14" s="1699"/>
      <c r="AT14" s="2285"/>
      <c r="AU14" s="152"/>
      <c r="AV14" s="134"/>
      <c r="AW14" s="56"/>
      <c r="AX14" s="140"/>
      <c r="AY14" s="56"/>
      <c r="AZ14" s="56"/>
      <c r="BA14" s="56"/>
      <c r="BB14" s="56"/>
      <c r="BC14" s="140"/>
      <c r="BD14" s="56"/>
      <c r="BE14" s="224"/>
      <c r="BF14" s="224"/>
      <c r="BG14" s="56"/>
      <c r="BH14" s="135"/>
      <c r="BI14" s="55"/>
      <c r="BJ14" s="55"/>
      <c r="BK14" s="55"/>
      <c r="BL14" s="118"/>
      <c r="BM14" s="134"/>
      <c r="BN14" s="55"/>
      <c r="BO14" s="55"/>
      <c r="BP14" s="118"/>
      <c r="BQ14" s="134"/>
      <c r="BR14" s="56"/>
      <c r="BS14" s="57"/>
      <c r="BT14" s="135"/>
      <c r="BU14" s="708"/>
      <c r="BV14" s="57"/>
      <c r="BW14" s="56"/>
      <c r="BX14" s="56"/>
      <c r="BY14" s="56"/>
      <c r="BZ14" s="135"/>
      <c r="CA14" s="152"/>
      <c r="CB14" s="135"/>
      <c r="CC14" s="2267"/>
      <c r="CD14" s="134"/>
      <c r="CE14" s="56"/>
      <c r="CF14" s="56"/>
      <c r="CG14" s="224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60"/>
      <c r="DH14" s="60"/>
      <c r="DI14" s="56"/>
      <c r="DJ14" s="60"/>
      <c r="DK14" s="60"/>
      <c r="DL14" s="60"/>
      <c r="DM14" s="60"/>
      <c r="DN14" s="60"/>
      <c r="DO14" s="60"/>
      <c r="DP14" s="60"/>
      <c r="DQ14" s="766"/>
      <c r="DR14" s="924"/>
      <c r="DS14" s="60"/>
      <c r="DT14" s="140"/>
      <c r="DU14" s="134"/>
      <c r="DV14" s="135"/>
      <c r="DW14" s="932"/>
      <c r="DX14" s="690"/>
      <c r="DY14" s="690"/>
      <c r="DZ14" s="690"/>
      <c r="EA14" s="690"/>
      <c r="EB14" s="690"/>
      <c r="EC14" s="690"/>
      <c r="ED14" s="60"/>
      <c r="EE14" s="766"/>
      <c r="EF14" s="152"/>
      <c r="EG14" s="135"/>
      <c r="EH14" s="918"/>
      <c r="EI14" s="690"/>
      <c r="EJ14" s="690"/>
      <c r="EK14" s="690"/>
      <c r="EL14" s="690"/>
      <c r="EM14" s="690"/>
      <c r="EN14" s="690"/>
      <c r="EO14" s="690"/>
      <c r="EP14" s="690"/>
      <c r="EQ14" s="690"/>
      <c r="ER14" s="690"/>
      <c r="ES14" s="690"/>
      <c r="ET14" s="690"/>
      <c r="EU14" s="690"/>
      <c r="EV14" s="690"/>
      <c r="EW14" s="690"/>
      <c r="EX14" s="60"/>
      <c r="EY14" s="690"/>
      <c r="EZ14" s="690"/>
      <c r="FA14" s="474"/>
      <c r="FB14" s="690"/>
      <c r="FC14" s="56"/>
      <c r="FD14" s="56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807"/>
      <c r="GI14" s="807"/>
      <c r="GJ14" s="807"/>
      <c r="GK14" s="807"/>
      <c r="GL14" s="807"/>
      <c r="GM14" s="169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807"/>
      <c r="IM14" s="918"/>
      <c r="IN14" s="60"/>
      <c r="IO14" s="60"/>
      <c r="IP14" s="60"/>
      <c r="IQ14" s="58"/>
      <c r="IR14" s="58"/>
      <c r="IS14" s="58"/>
      <c r="IT14" s="58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  <c r="JG14" s="58"/>
      <c r="JH14" s="59"/>
      <c r="JI14" s="61"/>
      <c r="JJ14" s="58"/>
      <c r="JK14" s="58"/>
      <c r="JL14" s="58"/>
      <c r="JM14" s="61"/>
      <c r="JN14" s="169"/>
      <c r="JO14" s="61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18"/>
      <c r="KE14" s="18"/>
      <c r="KF14" s="1070"/>
      <c r="KI14" s="221"/>
    </row>
    <row r="15" spans="1:295" s="1824" customFormat="1" x14ac:dyDescent="0.25">
      <c r="A15" s="1778"/>
      <c r="B15" s="1779" t="s">
        <v>608</v>
      </c>
      <c r="C15" s="1780">
        <f>SUM(C16:C19)</f>
        <v>508216.20990030974</v>
      </c>
      <c r="D15" s="1781">
        <f>SUM(D16:D19)</f>
        <v>423513.50825025811</v>
      </c>
      <c r="E15" s="2267"/>
      <c r="F15" s="1782"/>
      <c r="G15" s="1783"/>
      <c r="H15" s="1784"/>
      <c r="I15" s="1783"/>
      <c r="J15" s="1783"/>
      <c r="K15" s="1783"/>
      <c r="L15" s="1783"/>
      <c r="M15" s="1783"/>
      <c r="N15" s="1783"/>
      <c r="O15" s="1783"/>
      <c r="P15" s="1783"/>
      <c r="Q15" s="1783"/>
      <c r="R15" s="1783"/>
      <c r="S15" s="1783"/>
      <c r="T15" s="1783"/>
      <c r="U15" s="1783"/>
      <c r="V15" s="1785"/>
      <c r="W15" s="2267"/>
      <c r="X15" s="1786"/>
      <c r="Y15" s="1786"/>
      <c r="Z15" s="1786"/>
      <c r="AA15" s="1786"/>
      <c r="AB15" s="1786"/>
      <c r="AC15" s="1787"/>
      <c r="AD15" s="1788"/>
      <c r="AE15" s="1789"/>
      <c r="AF15" s="1790"/>
      <c r="AG15" s="1791"/>
      <c r="AH15" s="1792"/>
      <c r="AI15" s="1792"/>
      <c r="AJ15" s="1792"/>
      <c r="AK15" s="1792"/>
      <c r="AL15" s="1792"/>
      <c r="AM15" s="1793"/>
      <c r="AN15" s="1794"/>
      <c r="AO15" s="1795"/>
      <c r="AP15" s="1796"/>
      <c r="AQ15" s="1797"/>
      <c r="AR15" s="1798"/>
      <c r="AS15" s="1798"/>
      <c r="AT15" s="2285"/>
      <c r="AU15" s="1799"/>
      <c r="AV15" s="1800"/>
      <c r="AW15" s="1801"/>
      <c r="AX15" s="1802"/>
      <c r="AY15" s="1801"/>
      <c r="AZ15" s="1801"/>
      <c r="BA15" s="1801"/>
      <c r="BB15" s="1801"/>
      <c r="BC15" s="1802"/>
      <c r="BD15" s="1801"/>
      <c r="BE15" s="1803"/>
      <c r="BF15" s="1803"/>
      <c r="BG15" s="1801"/>
      <c r="BH15" s="1804"/>
      <c r="BI15" s="1805"/>
      <c r="BJ15" s="1805"/>
      <c r="BK15" s="1805"/>
      <c r="BL15" s="1806"/>
      <c r="BM15" s="1800"/>
      <c r="BN15" s="1805"/>
      <c r="BO15" s="1805"/>
      <c r="BP15" s="1806"/>
      <c r="BQ15" s="1800"/>
      <c r="BR15" s="1801"/>
      <c r="BS15" s="1785"/>
      <c r="BT15" s="1804"/>
      <c r="BU15" s="1807"/>
      <c r="BV15" s="1785"/>
      <c r="BW15" s="1801"/>
      <c r="BX15" s="1801"/>
      <c r="BY15" s="1801"/>
      <c r="BZ15" s="1804"/>
      <c r="CA15" s="1799"/>
      <c r="CB15" s="1804"/>
      <c r="CC15" s="2267"/>
      <c r="CD15" s="1800"/>
      <c r="CE15" s="1801"/>
      <c r="CF15" s="1801"/>
      <c r="CG15" s="1803"/>
      <c r="CH15" s="1801"/>
      <c r="CI15" s="1801"/>
      <c r="CJ15" s="1801"/>
      <c r="CK15" s="1801"/>
      <c r="CL15" s="1801"/>
      <c r="CM15" s="1801"/>
      <c r="CN15" s="1801"/>
      <c r="CO15" s="1801"/>
      <c r="CP15" s="1801"/>
      <c r="CQ15" s="1801"/>
      <c r="CR15" s="1801"/>
      <c r="CS15" s="1801"/>
      <c r="CT15" s="1801"/>
      <c r="CU15" s="1801"/>
      <c r="CV15" s="1801"/>
      <c r="CW15" s="1801"/>
      <c r="CX15" s="1801"/>
      <c r="CY15" s="1801"/>
      <c r="CZ15" s="1801"/>
      <c r="DA15" s="1801"/>
      <c r="DB15" s="1801"/>
      <c r="DC15" s="1801"/>
      <c r="DD15" s="1801"/>
      <c r="DE15" s="1801"/>
      <c r="DF15" s="1801"/>
      <c r="DG15" s="1808"/>
      <c r="DH15" s="1808"/>
      <c r="DI15" s="1801"/>
      <c r="DJ15" s="1808"/>
      <c r="DK15" s="1808"/>
      <c r="DL15" s="1808"/>
      <c r="DM15" s="1808"/>
      <c r="DN15" s="1808"/>
      <c r="DO15" s="1808"/>
      <c r="DP15" s="1808"/>
      <c r="DQ15" s="1809"/>
      <c r="DR15" s="1810"/>
      <c r="DS15" s="1808"/>
      <c r="DT15" s="1802"/>
      <c r="DU15" s="1800"/>
      <c r="DV15" s="1804"/>
      <c r="DW15" s="1811"/>
      <c r="DX15" s="1812"/>
      <c r="DY15" s="1812"/>
      <c r="DZ15" s="1812"/>
      <c r="EA15" s="1812"/>
      <c r="EB15" s="1812"/>
      <c r="EC15" s="1812"/>
      <c r="ED15" s="1808"/>
      <c r="EE15" s="1809"/>
      <c r="EF15" s="1799"/>
      <c r="EG15" s="1804"/>
      <c r="EH15" s="1813"/>
      <c r="EI15" s="1812"/>
      <c r="EJ15" s="1812"/>
      <c r="EK15" s="1812"/>
      <c r="EL15" s="1812"/>
      <c r="EM15" s="1812"/>
      <c r="EN15" s="1812"/>
      <c r="EO15" s="1812"/>
      <c r="EP15" s="1812"/>
      <c r="EQ15" s="1812"/>
      <c r="ER15" s="1812"/>
      <c r="ES15" s="1812"/>
      <c r="ET15" s="1812"/>
      <c r="EU15" s="1812"/>
      <c r="EV15" s="1812"/>
      <c r="EW15" s="1812"/>
      <c r="EX15" s="1808"/>
      <c r="EY15" s="1812"/>
      <c r="EZ15" s="1812"/>
      <c r="FA15" s="1814"/>
      <c r="FB15" s="1812"/>
      <c r="FC15" s="1801"/>
      <c r="FD15" s="1801"/>
      <c r="FE15" s="1808"/>
      <c r="FF15" s="1808"/>
      <c r="FG15" s="1808"/>
      <c r="FH15" s="1808"/>
      <c r="FI15" s="1808"/>
      <c r="FJ15" s="1808"/>
      <c r="FK15" s="1808"/>
      <c r="FL15" s="1808"/>
      <c r="FM15" s="1808"/>
      <c r="FN15" s="1808"/>
      <c r="FO15" s="1808"/>
      <c r="FP15" s="1808"/>
      <c r="FQ15" s="1808"/>
      <c r="FR15" s="1808"/>
      <c r="FS15" s="1808"/>
      <c r="FT15" s="1808"/>
      <c r="FU15" s="1808"/>
      <c r="FV15" s="1808"/>
      <c r="FW15" s="1808"/>
      <c r="FX15" s="1808"/>
      <c r="FY15" s="1808"/>
      <c r="FZ15" s="1808"/>
      <c r="GA15" s="1808"/>
      <c r="GB15" s="1808"/>
      <c r="GC15" s="1808"/>
      <c r="GD15" s="1808"/>
      <c r="GE15" s="1808"/>
      <c r="GF15" s="1808"/>
      <c r="GG15" s="1808"/>
      <c r="GH15" s="1815"/>
      <c r="GI15" s="1815"/>
      <c r="GJ15" s="1815"/>
      <c r="GK15" s="1815"/>
      <c r="GL15" s="1815"/>
      <c r="GM15" s="1816"/>
      <c r="GN15" s="1808"/>
      <c r="GO15" s="1808"/>
      <c r="GP15" s="1808"/>
      <c r="GQ15" s="1808"/>
      <c r="GR15" s="1808"/>
      <c r="GS15" s="1808"/>
      <c r="GT15" s="1808"/>
      <c r="GU15" s="1808"/>
      <c r="GV15" s="1808"/>
      <c r="GW15" s="1808"/>
      <c r="GX15" s="1808"/>
      <c r="GY15" s="1808"/>
      <c r="GZ15" s="1808"/>
      <c r="HA15" s="1808"/>
      <c r="HB15" s="1808"/>
      <c r="HC15" s="1808"/>
      <c r="HD15" s="1808"/>
      <c r="HE15" s="1808"/>
      <c r="HF15" s="1808"/>
      <c r="HG15" s="1808"/>
      <c r="HH15" s="1808"/>
      <c r="HI15" s="1808"/>
      <c r="HJ15" s="1808"/>
      <c r="HK15" s="1808"/>
      <c r="HL15" s="1808"/>
      <c r="HM15" s="1808"/>
      <c r="HN15" s="1808"/>
      <c r="HO15" s="1808"/>
      <c r="HP15" s="1808"/>
      <c r="HQ15" s="1808"/>
      <c r="HR15" s="1808"/>
      <c r="HS15" s="1808"/>
      <c r="HT15" s="1808"/>
      <c r="HU15" s="1808"/>
      <c r="HV15" s="1808"/>
      <c r="HW15" s="1808"/>
      <c r="HX15" s="1808"/>
      <c r="HY15" s="1808"/>
      <c r="HZ15" s="1808"/>
      <c r="IA15" s="1808"/>
      <c r="IB15" s="1808"/>
      <c r="IC15" s="1808"/>
      <c r="ID15" s="1808"/>
      <c r="IE15" s="1808"/>
      <c r="IF15" s="1808"/>
      <c r="IG15" s="1808"/>
      <c r="IH15" s="1808"/>
      <c r="II15" s="1808"/>
      <c r="IJ15" s="1808"/>
      <c r="IK15" s="1808"/>
      <c r="IL15" s="1815"/>
      <c r="IM15" s="1813"/>
      <c r="IN15" s="1808"/>
      <c r="IO15" s="1808"/>
      <c r="IP15" s="1808"/>
      <c r="IQ15" s="1817"/>
      <c r="IR15" s="1817"/>
      <c r="IS15" s="1817"/>
      <c r="IT15" s="1817"/>
      <c r="IU15" s="1817"/>
      <c r="IV15" s="1817"/>
      <c r="IW15" s="1817"/>
      <c r="IX15" s="1817"/>
      <c r="IY15" s="1817"/>
      <c r="IZ15" s="1817"/>
      <c r="JA15" s="1817"/>
      <c r="JB15" s="1817"/>
      <c r="JC15" s="1817"/>
      <c r="JD15" s="1817"/>
      <c r="JE15" s="1817"/>
      <c r="JF15" s="1817"/>
      <c r="JG15" s="1817"/>
      <c r="JH15" s="1818"/>
      <c r="JI15" s="1819"/>
      <c r="JJ15" s="1817"/>
      <c r="JK15" s="1817"/>
      <c r="JL15" s="1817"/>
      <c r="JM15" s="1819"/>
      <c r="JN15" s="1816"/>
      <c r="JO15" s="1819"/>
      <c r="JP15" s="1820"/>
      <c r="JQ15" s="1820"/>
      <c r="JR15" s="1820"/>
      <c r="JS15" s="1820"/>
      <c r="JT15" s="1820"/>
      <c r="JU15" s="1820"/>
      <c r="JV15" s="1821"/>
      <c r="JW15" s="1820"/>
      <c r="JX15" s="1820"/>
      <c r="JY15" s="1820"/>
      <c r="JZ15" s="1820"/>
      <c r="KA15" s="1820"/>
      <c r="KB15" s="1820"/>
      <c r="KC15" s="1820"/>
      <c r="KD15" s="1822"/>
      <c r="KE15" s="1822"/>
      <c r="KF15" s="1823"/>
      <c r="KI15" s="1825"/>
    </row>
    <row r="16" spans="1:295" s="1876" customFormat="1" ht="15.75" hidden="1" customHeight="1" x14ac:dyDescent="0.25">
      <c r="A16" s="1826"/>
      <c r="B16" s="1827" t="s">
        <v>611</v>
      </c>
      <c r="C16" s="1828">
        <v>0</v>
      </c>
      <c r="D16" s="1829">
        <f>C16/1.2</f>
        <v>0</v>
      </c>
      <c r="E16" s="2267"/>
      <c r="F16" s="1830"/>
      <c r="G16" s="1831"/>
      <c r="H16" s="1832"/>
      <c r="I16" s="1831"/>
      <c r="J16" s="1831"/>
      <c r="K16" s="1831"/>
      <c r="L16" s="1833"/>
      <c r="M16" s="1833"/>
      <c r="N16" s="1834"/>
      <c r="O16" s="1833"/>
      <c r="P16" s="1833"/>
      <c r="Q16" s="1835"/>
      <c r="R16" s="1835"/>
      <c r="S16" s="1833"/>
      <c r="T16" s="1833"/>
      <c r="U16" s="1833"/>
      <c r="V16" s="1836"/>
      <c r="W16" s="2267"/>
      <c r="X16" s="1837"/>
      <c r="Y16" s="1837"/>
      <c r="Z16" s="1837"/>
      <c r="AA16" s="1837"/>
      <c r="AB16" s="1837"/>
      <c r="AC16" s="1838"/>
      <c r="AD16" s="1839"/>
      <c r="AE16" s="1840">
        <f>6.89/100*AD16</f>
        <v>0</v>
      </c>
      <c r="AF16" s="1841"/>
      <c r="AG16" s="1842"/>
      <c r="AH16" s="1843"/>
      <c r="AI16" s="1843"/>
      <c r="AJ16" s="1843"/>
      <c r="AK16" s="1843"/>
      <c r="AL16" s="1843"/>
      <c r="AM16" s="1844">
        <f>93.11/100/AM95*AD16</f>
        <v>0</v>
      </c>
      <c r="AN16" s="1845"/>
      <c r="AO16" s="1846"/>
      <c r="AP16" s="1847"/>
      <c r="AQ16" s="1848"/>
      <c r="AR16" s="1849"/>
      <c r="AS16" s="1850">
        <v>2.5999999999999999E-2</v>
      </c>
      <c r="AT16" s="2285"/>
      <c r="AU16" s="1851"/>
      <c r="AV16" s="1852"/>
      <c r="AW16" s="1853"/>
      <c r="AX16" s="1854"/>
      <c r="AY16" s="1853"/>
      <c r="AZ16" s="1853"/>
      <c r="BA16" s="1853"/>
      <c r="BB16" s="1853"/>
      <c r="BC16" s="1854"/>
      <c r="BD16" s="1853"/>
      <c r="BE16" s="1855"/>
      <c r="BF16" s="1855"/>
      <c r="BG16" s="1853"/>
      <c r="BH16" s="1856"/>
      <c r="BI16" s="1857"/>
      <c r="BJ16" s="1805"/>
      <c r="BK16" s="1805"/>
      <c r="BL16" s="1806"/>
      <c r="BM16" s="1858"/>
      <c r="BN16" s="1835"/>
      <c r="BO16" s="1835"/>
      <c r="BP16" s="1859"/>
      <c r="BQ16" s="1852"/>
      <c r="BR16" s="1801">
        <f>25.759*1.12*0</f>
        <v>0</v>
      </c>
      <c r="BS16" s="1785"/>
      <c r="BT16" s="1804">
        <f>76.241*1.12*0</f>
        <v>0</v>
      </c>
      <c r="BU16" s="1860"/>
      <c r="BV16" s="1785"/>
      <c r="BW16" s="1801"/>
      <c r="BX16" s="1801"/>
      <c r="BY16" s="1801"/>
      <c r="BZ16" s="1856"/>
      <c r="CA16" s="1851"/>
      <c r="CB16" s="1856"/>
      <c r="CC16" s="2267"/>
      <c r="CD16" s="1852"/>
      <c r="CE16" s="1853"/>
      <c r="CF16" s="1853"/>
      <c r="CG16" s="1803"/>
      <c r="CH16" s="1853"/>
      <c r="CI16" s="1853"/>
      <c r="CJ16" s="1853"/>
      <c r="CK16" s="1853"/>
      <c r="CL16" s="1853"/>
      <c r="CM16" s="1853"/>
      <c r="CN16" s="1853"/>
      <c r="CO16" s="1853"/>
      <c r="CP16" s="1853"/>
      <c r="CQ16" s="1853"/>
      <c r="CR16" s="1853"/>
      <c r="CS16" s="1853"/>
      <c r="CT16" s="1853"/>
      <c r="CU16" s="1853"/>
      <c r="CV16" s="1853"/>
      <c r="CW16" s="1853"/>
      <c r="CX16" s="1853"/>
      <c r="CY16" s="1853"/>
      <c r="CZ16" s="1801"/>
      <c r="DA16" s="1801"/>
      <c r="DB16" s="1801"/>
      <c r="DC16" s="1801"/>
      <c r="DD16" s="1801"/>
      <c r="DE16" s="1853"/>
      <c r="DF16" s="1853"/>
      <c r="DG16" s="1861"/>
      <c r="DH16" s="1861"/>
      <c r="DI16" s="1853"/>
      <c r="DJ16" s="1861"/>
      <c r="DK16" s="1861"/>
      <c r="DL16" s="1861"/>
      <c r="DM16" s="1861"/>
      <c r="DN16" s="1861"/>
      <c r="DO16" s="1861"/>
      <c r="DP16" s="1861"/>
      <c r="DQ16" s="1862"/>
      <c r="DR16" s="1863"/>
      <c r="DS16" s="1861"/>
      <c r="DT16" s="1854"/>
      <c r="DU16" s="1800"/>
      <c r="DV16" s="1804"/>
      <c r="DW16" s="1864"/>
      <c r="DX16" s="1865"/>
      <c r="DY16" s="1865"/>
      <c r="DZ16" s="1865"/>
      <c r="EA16" s="1865"/>
      <c r="EB16" s="1865"/>
      <c r="EC16" s="1865"/>
      <c r="ED16" s="1861"/>
      <c r="EE16" s="1862"/>
      <c r="EF16" s="1851"/>
      <c r="EG16" s="1856"/>
      <c r="EH16" s="1866"/>
      <c r="EI16" s="1865"/>
      <c r="EJ16" s="1865"/>
      <c r="EK16" s="1865"/>
      <c r="EL16" s="1865"/>
      <c r="EM16" s="1865"/>
      <c r="EN16" s="1865"/>
      <c r="EO16" s="1865"/>
      <c r="EP16" s="1865"/>
      <c r="EQ16" s="1865"/>
      <c r="ER16" s="1865"/>
      <c r="ES16" s="1865"/>
      <c r="ET16" s="1865"/>
      <c r="EU16" s="1865"/>
      <c r="EV16" s="1865"/>
      <c r="EW16" s="1865"/>
      <c r="EX16" s="1861"/>
      <c r="EY16" s="1865"/>
      <c r="EZ16" s="1865"/>
      <c r="FA16" s="1867"/>
      <c r="FB16" s="1865"/>
      <c r="FC16" s="1853"/>
      <c r="FD16" s="1853"/>
      <c r="FE16" s="1861"/>
      <c r="FF16" s="1861"/>
      <c r="FG16" s="1861"/>
      <c r="FH16" s="1808"/>
      <c r="FI16" s="1808"/>
      <c r="FJ16" s="1808"/>
      <c r="FK16" s="1861"/>
      <c r="FL16" s="1861"/>
      <c r="FM16" s="1861"/>
      <c r="FN16" s="1861"/>
      <c r="FO16" s="1861"/>
      <c r="FP16" s="1861"/>
      <c r="FQ16" s="1861"/>
      <c r="FR16" s="1861"/>
      <c r="FS16" s="1861"/>
      <c r="FT16" s="1861"/>
      <c r="FU16" s="1861"/>
      <c r="FV16" s="1861"/>
      <c r="FW16" s="1861"/>
      <c r="FX16" s="1861"/>
      <c r="FY16" s="1861"/>
      <c r="FZ16" s="1861"/>
      <c r="GA16" s="1861"/>
      <c r="GB16" s="1861"/>
      <c r="GC16" s="1861"/>
      <c r="GD16" s="1861"/>
      <c r="GE16" s="1861"/>
      <c r="GF16" s="1861"/>
      <c r="GG16" s="1861"/>
      <c r="GH16" s="1868"/>
      <c r="GI16" s="1868"/>
      <c r="GJ16" s="1868"/>
      <c r="GK16" s="1868"/>
      <c r="GL16" s="1868"/>
      <c r="GM16" s="1869"/>
      <c r="GN16" s="1861"/>
      <c r="GO16" s="1861"/>
      <c r="GP16" s="1861"/>
      <c r="GQ16" s="1861"/>
      <c r="GR16" s="1861"/>
      <c r="GS16" s="1861"/>
      <c r="GT16" s="1861"/>
      <c r="GU16" s="1861"/>
      <c r="GV16" s="1861"/>
      <c r="GW16" s="1861"/>
      <c r="GX16" s="1861"/>
      <c r="GY16" s="1861"/>
      <c r="GZ16" s="1861"/>
      <c r="HA16" s="1861"/>
      <c r="HB16" s="1861"/>
      <c r="HC16" s="1861"/>
      <c r="HD16" s="1861"/>
      <c r="HE16" s="1861"/>
      <c r="HF16" s="1861"/>
      <c r="HG16" s="1861"/>
      <c r="HH16" s="1861"/>
      <c r="HI16" s="1861"/>
      <c r="HJ16" s="1861"/>
      <c r="HK16" s="1861"/>
      <c r="HL16" s="1861"/>
      <c r="HM16" s="1861"/>
      <c r="HN16" s="1861"/>
      <c r="HO16" s="1861"/>
      <c r="HP16" s="1861"/>
      <c r="HQ16" s="1861"/>
      <c r="HR16" s="1861"/>
      <c r="HS16" s="1861"/>
      <c r="HT16" s="1861"/>
      <c r="HU16" s="1861"/>
      <c r="HV16" s="1861"/>
      <c r="HW16" s="1861"/>
      <c r="HX16" s="1861"/>
      <c r="HY16" s="1861"/>
      <c r="HZ16" s="1861"/>
      <c r="IA16" s="1861"/>
      <c r="IB16" s="1861"/>
      <c r="IC16" s="1861"/>
      <c r="ID16" s="1861"/>
      <c r="IE16" s="1861"/>
      <c r="IF16" s="1861"/>
      <c r="IG16" s="1861"/>
      <c r="IH16" s="1861"/>
      <c r="II16" s="1861"/>
      <c r="IJ16" s="1861"/>
      <c r="IK16" s="1861"/>
      <c r="IL16" s="1868"/>
      <c r="IM16" s="1866"/>
      <c r="IN16" s="1861"/>
      <c r="IO16" s="1861"/>
      <c r="IP16" s="1861"/>
      <c r="IQ16" s="1870"/>
      <c r="IR16" s="1870"/>
      <c r="IS16" s="1870"/>
      <c r="IT16" s="1870"/>
      <c r="IU16" s="1870"/>
      <c r="IV16" s="1870"/>
      <c r="IW16" s="1870"/>
      <c r="IX16" s="1870"/>
      <c r="IY16" s="1870"/>
      <c r="IZ16" s="1870"/>
      <c r="JA16" s="1870"/>
      <c r="JB16" s="1870"/>
      <c r="JC16" s="1870"/>
      <c r="JD16" s="1870"/>
      <c r="JE16" s="1870"/>
      <c r="JF16" s="1870"/>
      <c r="JG16" s="1870"/>
      <c r="JH16" s="1871"/>
      <c r="JI16" s="1872"/>
      <c r="JJ16" s="1870"/>
      <c r="JK16" s="1870"/>
      <c r="JL16" s="1870"/>
      <c r="JM16" s="1872"/>
      <c r="JN16" s="1869"/>
      <c r="JO16" s="1872"/>
      <c r="JP16" s="1873"/>
      <c r="JQ16" s="1873"/>
      <c r="JR16" s="1873"/>
      <c r="JS16" s="1873"/>
      <c r="JT16" s="1873"/>
      <c r="JU16" s="1873"/>
      <c r="JV16" s="1873"/>
      <c r="JW16" s="1873"/>
      <c r="JX16" s="1873"/>
      <c r="JY16" s="1873"/>
      <c r="JZ16" s="1873"/>
      <c r="KA16" s="1873"/>
      <c r="KB16" s="1873"/>
      <c r="KC16" s="1873"/>
      <c r="KD16" s="1874"/>
      <c r="KE16" s="1874"/>
      <c r="KF16" s="1875"/>
      <c r="KI16" s="1877"/>
    </row>
    <row r="17" spans="1:295" s="1824" customFormat="1" x14ac:dyDescent="0.25">
      <c r="A17" s="1878"/>
      <c r="B17" s="1827" t="s">
        <v>837</v>
      </c>
      <c r="C17" s="1828">
        <v>94000</v>
      </c>
      <c r="D17" s="1829">
        <f t="shared" ref="D17" si="0">C17/1.2</f>
        <v>78333.333333333343</v>
      </c>
      <c r="E17" s="2267"/>
      <c r="F17" s="1879">
        <f>SUM(G17:K17)</f>
        <v>0.84454157361400373</v>
      </c>
      <c r="G17" s="1786"/>
      <c r="H17" s="1880">
        <f>4/3804.39*BF17</f>
        <v>0.84454157361400373</v>
      </c>
      <c r="I17" s="1786"/>
      <c r="J17" s="1786"/>
      <c r="K17" s="1786"/>
      <c r="L17" s="1783"/>
      <c r="M17" s="1783"/>
      <c r="N17" s="1881"/>
      <c r="O17" s="1783"/>
      <c r="P17" s="1783"/>
      <c r="Q17" s="1805"/>
      <c r="R17" s="1805"/>
      <c r="S17" s="1783"/>
      <c r="T17" s="1783"/>
      <c r="U17" s="1783"/>
      <c r="V17" s="1785"/>
      <c r="W17" s="2267"/>
      <c r="X17" s="1882"/>
      <c r="Y17" s="1883">
        <f>15.834*0</f>
        <v>0</v>
      </c>
      <c r="Z17" s="1883"/>
      <c r="AA17" s="1883"/>
      <c r="AB17" s="1883"/>
      <c r="AC17" s="1884"/>
      <c r="AD17" s="1839">
        <f>3.713*0</f>
        <v>0</v>
      </c>
      <c r="AE17" s="1840">
        <f>6.02/100*Y17+4.03/100*AB17+6.89/100*AD17</f>
        <v>0</v>
      </c>
      <c r="AF17" s="1885"/>
      <c r="AG17" s="1886"/>
      <c r="AH17" s="1843">
        <f>19.19/$AH$95/100*AB17</f>
        <v>0</v>
      </c>
      <c r="AI17" s="1843"/>
      <c r="AJ17" s="1843">
        <f>32.89/$AJ$95/100*Y17</f>
        <v>0</v>
      </c>
      <c r="AK17" s="1843">
        <f>23.99/$AK$95/100*AB17</f>
        <v>0</v>
      </c>
      <c r="AL17" s="1843"/>
      <c r="AM17" s="1844">
        <f>61.09/$AM$95/100*Y17+52.78/$AM$95/100*AB17+93.11/100/$AM$95*AD17</f>
        <v>0</v>
      </c>
      <c r="AN17" s="1887"/>
      <c r="AO17" s="1846"/>
      <c r="AP17" s="1888"/>
      <c r="AQ17" s="1889"/>
      <c r="AR17" s="1849"/>
      <c r="AS17" s="1890">
        <f>0.105*0.5*1.03*0</f>
        <v>0</v>
      </c>
      <c r="AT17" s="2285"/>
      <c r="AU17" s="1799"/>
      <c r="AV17" s="1800"/>
      <c r="AW17" s="1801"/>
      <c r="AX17" s="1802"/>
      <c r="AY17" s="1801"/>
      <c r="AZ17" s="1801"/>
      <c r="BA17" s="1801"/>
      <c r="BB17" s="1801"/>
      <c r="BC17" s="1802"/>
      <c r="BD17" s="1801"/>
      <c r="BE17" s="1803"/>
      <c r="BF17" s="1803">
        <f>1164.7/1.45</f>
        <v>803.24137931034488</v>
      </c>
      <c r="BG17" s="1801"/>
      <c r="BH17" s="1804"/>
      <c r="BI17" s="1891"/>
      <c r="BJ17" s="1783"/>
      <c r="BK17" s="1783"/>
      <c r="BL17" s="1892"/>
      <c r="BM17" s="1893"/>
      <c r="BN17" s="1805"/>
      <c r="BO17" s="1805"/>
      <c r="BP17" s="1806"/>
      <c r="BQ17" s="1800"/>
      <c r="BR17" s="1801"/>
      <c r="BS17" s="1785"/>
      <c r="BT17" s="1804"/>
      <c r="BU17" s="1807"/>
      <c r="BV17" s="1785"/>
      <c r="BW17" s="1801"/>
      <c r="BX17" s="1801"/>
      <c r="BY17" s="1801">
        <f>10.582*0</f>
        <v>0</v>
      </c>
      <c r="BZ17" s="1804"/>
      <c r="CA17" s="1799"/>
      <c r="CB17" s="1804"/>
      <c r="CC17" s="2267"/>
      <c r="CD17" s="1800"/>
      <c r="CE17" s="1801"/>
      <c r="CF17" s="1801"/>
      <c r="CG17" s="1803">
        <f>(2.95+2.7975)*0</f>
        <v>0</v>
      </c>
      <c r="CH17" s="1801"/>
      <c r="CI17" s="1801">
        <f>24*0</f>
        <v>0</v>
      </c>
      <c r="CJ17" s="1801"/>
      <c r="CK17" s="1801">
        <f>26*0</f>
        <v>0</v>
      </c>
      <c r="CL17" s="1801"/>
      <c r="CM17" s="1801">
        <f>16*0</f>
        <v>0</v>
      </c>
      <c r="CN17" s="1801"/>
      <c r="CO17" s="1801"/>
      <c r="CP17" s="1801"/>
      <c r="CQ17" s="1801"/>
      <c r="CR17" s="1801"/>
      <c r="CS17" s="1801"/>
      <c r="CT17" s="1801"/>
      <c r="CU17" s="1801"/>
      <c r="CV17" s="1801"/>
      <c r="CW17" s="1801"/>
      <c r="CX17" s="1801"/>
      <c r="CY17" s="1801"/>
      <c r="CZ17" s="1801"/>
      <c r="DA17" s="1801"/>
      <c r="DB17" s="1801"/>
      <c r="DC17" s="1801"/>
      <c r="DD17" s="1801"/>
      <c r="DE17" s="1801">
        <f>1*0</f>
        <v>0</v>
      </c>
      <c r="DF17" s="1801"/>
      <c r="DG17" s="1808">
        <f t="shared" ref="DG17:DI18" si="1">1*0</f>
        <v>0</v>
      </c>
      <c r="DH17" s="1808">
        <f t="shared" si="1"/>
        <v>0</v>
      </c>
      <c r="DI17" s="1801">
        <f t="shared" si="1"/>
        <v>0</v>
      </c>
      <c r="DJ17" s="1808"/>
      <c r="DK17" s="1808"/>
      <c r="DL17" s="1808"/>
      <c r="DM17" s="1808"/>
      <c r="DN17" s="1808"/>
      <c r="DO17" s="1808"/>
      <c r="DP17" s="1808"/>
      <c r="DQ17" s="1809"/>
      <c r="DR17" s="1810"/>
      <c r="DS17" s="1808"/>
      <c r="DT17" s="1802"/>
      <c r="DU17" s="1800"/>
      <c r="DV17" s="1804"/>
      <c r="DW17" s="1811"/>
      <c r="DX17" s="1812"/>
      <c r="DY17" s="1812"/>
      <c r="DZ17" s="1812"/>
      <c r="EA17" s="1812"/>
      <c r="EB17" s="1812"/>
      <c r="EC17" s="1812"/>
      <c r="ED17" s="1808"/>
      <c r="EE17" s="1809"/>
      <c r="EF17" s="1799"/>
      <c r="EG17" s="1804"/>
      <c r="EH17" s="1813"/>
      <c r="EI17" s="1812"/>
      <c r="EJ17" s="1812"/>
      <c r="EK17" s="1812"/>
      <c r="EL17" s="1812"/>
      <c r="EM17" s="1812"/>
      <c r="EN17" s="1812"/>
      <c r="EO17" s="1812"/>
      <c r="EP17" s="1812"/>
      <c r="EQ17" s="1812"/>
      <c r="ER17" s="1812"/>
      <c r="ES17" s="1812"/>
      <c r="ET17" s="1812"/>
      <c r="EU17" s="1812"/>
      <c r="EV17" s="1812"/>
      <c r="EW17" s="1812"/>
      <c r="EX17" s="1808"/>
      <c r="EY17" s="1812"/>
      <c r="EZ17" s="1812"/>
      <c r="FA17" s="1814"/>
      <c r="FB17" s="1812"/>
      <c r="FC17" s="1801"/>
      <c r="FD17" s="1801"/>
      <c r="FE17" s="1808"/>
      <c r="FF17" s="1808"/>
      <c r="FG17" s="1808"/>
      <c r="FH17" s="1808"/>
      <c r="FI17" s="1808"/>
      <c r="FJ17" s="1808"/>
      <c r="FK17" s="1808"/>
      <c r="FL17" s="1808"/>
      <c r="FM17" s="1808"/>
      <c r="FN17" s="1808"/>
      <c r="FO17" s="1808"/>
      <c r="FP17" s="1808"/>
      <c r="FQ17" s="1808"/>
      <c r="FR17" s="1808"/>
      <c r="FS17" s="1808"/>
      <c r="FT17" s="1808"/>
      <c r="FU17" s="1808"/>
      <c r="FV17" s="1808"/>
      <c r="FW17" s="1808"/>
      <c r="FX17" s="1808"/>
      <c r="FY17" s="1808"/>
      <c r="FZ17" s="1808"/>
      <c r="GA17" s="1808"/>
      <c r="GB17" s="1808"/>
      <c r="GC17" s="1808"/>
      <c r="GD17" s="1808"/>
      <c r="GE17" s="1808"/>
      <c r="GF17" s="1808"/>
      <c r="GG17" s="1808"/>
      <c r="GH17" s="1815"/>
      <c r="GI17" s="1815"/>
      <c r="GJ17" s="1815"/>
      <c r="GK17" s="1815"/>
      <c r="GL17" s="1815"/>
      <c r="GM17" s="1816"/>
      <c r="GN17" s="1808"/>
      <c r="GO17" s="1808"/>
      <c r="GP17" s="1808"/>
      <c r="GQ17" s="1808"/>
      <c r="GR17" s="1808"/>
      <c r="GS17" s="1808"/>
      <c r="GT17" s="1808"/>
      <c r="GU17" s="1808"/>
      <c r="GV17" s="1808"/>
      <c r="GW17" s="1808"/>
      <c r="GX17" s="1808"/>
      <c r="GY17" s="1808"/>
      <c r="GZ17" s="1808"/>
      <c r="HA17" s="1808"/>
      <c r="HB17" s="1808"/>
      <c r="HC17" s="1808"/>
      <c r="HD17" s="1808"/>
      <c r="HE17" s="1808"/>
      <c r="HF17" s="1808"/>
      <c r="HG17" s="1808"/>
      <c r="HH17" s="1808"/>
      <c r="HI17" s="1808"/>
      <c r="HJ17" s="1808"/>
      <c r="HK17" s="1808"/>
      <c r="HL17" s="1808"/>
      <c r="HM17" s="1808"/>
      <c r="HN17" s="1808"/>
      <c r="HO17" s="1808"/>
      <c r="HP17" s="1808"/>
      <c r="HQ17" s="1808"/>
      <c r="HR17" s="1808"/>
      <c r="HS17" s="1808"/>
      <c r="HT17" s="1808"/>
      <c r="HU17" s="1808"/>
      <c r="HV17" s="1808"/>
      <c r="HW17" s="1808"/>
      <c r="HX17" s="1808"/>
      <c r="HY17" s="1808"/>
      <c r="HZ17" s="1808"/>
      <c r="IA17" s="1808"/>
      <c r="IB17" s="1808"/>
      <c r="IC17" s="1808"/>
      <c r="ID17" s="1808"/>
      <c r="IE17" s="1808"/>
      <c r="IF17" s="1808"/>
      <c r="IG17" s="1808"/>
      <c r="IH17" s="1808"/>
      <c r="II17" s="1808"/>
      <c r="IJ17" s="1808"/>
      <c r="IK17" s="1808"/>
      <c r="IL17" s="1815"/>
      <c r="IM17" s="1813"/>
      <c r="IN17" s="1808"/>
      <c r="IO17" s="1808"/>
      <c r="IP17" s="1808"/>
      <c r="IQ17" s="1817"/>
      <c r="IR17" s="1817"/>
      <c r="IS17" s="1817"/>
      <c r="IT17" s="1817"/>
      <c r="IU17" s="1817"/>
      <c r="IV17" s="1817"/>
      <c r="IW17" s="1817"/>
      <c r="IX17" s="1817"/>
      <c r="IY17" s="1817"/>
      <c r="IZ17" s="1817"/>
      <c r="JA17" s="1817"/>
      <c r="JB17" s="1817"/>
      <c r="JC17" s="1817"/>
      <c r="JD17" s="1817"/>
      <c r="JE17" s="1817"/>
      <c r="JF17" s="1817"/>
      <c r="JG17" s="1817"/>
      <c r="JH17" s="1818"/>
      <c r="JI17" s="1819"/>
      <c r="JJ17" s="1817"/>
      <c r="JK17" s="1817"/>
      <c r="JL17" s="1817"/>
      <c r="JM17" s="1819"/>
      <c r="JN17" s="1816"/>
      <c r="JO17" s="1819"/>
      <c r="JP17" s="1820"/>
      <c r="JQ17" s="1820"/>
      <c r="JR17" s="1820"/>
      <c r="JS17" s="1820"/>
      <c r="JT17" s="1820"/>
      <c r="JU17" s="1820"/>
      <c r="JV17" s="1820"/>
      <c r="JW17" s="1820"/>
      <c r="JX17" s="1820"/>
      <c r="JY17" s="1820"/>
      <c r="JZ17" s="1820"/>
      <c r="KA17" s="1820"/>
      <c r="KB17" s="1820"/>
      <c r="KC17" s="1820"/>
      <c r="KD17" s="1822"/>
      <c r="KE17" s="1822"/>
      <c r="KF17" s="1823"/>
      <c r="KI17" s="1825"/>
    </row>
    <row r="18" spans="1:295" s="1824" customFormat="1" ht="26.25" x14ac:dyDescent="0.25">
      <c r="A18" s="1878"/>
      <c r="B18" s="1827" t="s">
        <v>836</v>
      </c>
      <c r="C18" s="1828">
        <f>850112.76*90%/6990.588*BF18</f>
        <v>369635.23505754245</v>
      </c>
      <c r="D18" s="1829">
        <f t="shared" ref="D18" si="2">C18/1.2</f>
        <v>308029.36254795204</v>
      </c>
      <c r="E18" s="2267"/>
      <c r="F18" s="1879">
        <f>SUM(G18:K18)</f>
        <v>3.565419871443698</v>
      </c>
      <c r="G18" s="1786"/>
      <c r="H18" s="1880">
        <f>7.38/6990.588*BF18</f>
        <v>3.565419871443698</v>
      </c>
      <c r="I18" s="1786"/>
      <c r="J18" s="1786"/>
      <c r="K18" s="1786"/>
      <c r="L18" s="1783"/>
      <c r="M18" s="1783"/>
      <c r="N18" s="1881"/>
      <c r="O18" s="1783"/>
      <c r="P18" s="1783"/>
      <c r="Q18" s="1805"/>
      <c r="R18" s="1805"/>
      <c r="S18" s="1783"/>
      <c r="T18" s="1783"/>
      <c r="U18" s="1783"/>
      <c r="V18" s="1785"/>
      <c r="W18" s="2267"/>
      <c r="X18" s="1882"/>
      <c r="Y18" s="1883">
        <f>15.834*0</f>
        <v>0</v>
      </c>
      <c r="Z18" s="1883"/>
      <c r="AA18" s="1883"/>
      <c r="AB18" s="1883"/>
      <c r="AC18" s="1884"/>
      <c r="AD18" s="1839">
        <f>3.713*0</f>
        <v>0</v>
      </c>
      <c r="AE18" s="1840">
        <f>6.02/100*Y18+4.03/100*AB18+6.89/100*AD18</f>
        <v>0</v>
      </c>
      <c r="AF18" s="1885"/>
      <c r="AG18" s="1886"/>
      <c r="AH18" s="1843">
        <f>19.19/$AH$95/100*AB18</f>
        <v>0</v>
      </c>
      <c r="AI18" s="1843"/>
      <c r="AJ18" s="1843">
        <f>32.89/$AJ$95/100*Y18</f>
        <v>0</v>
      </c>
      <c r="AK18" s="1843">
        <f>23.99/$AK$95/100*AB18</f>
        <v>0</v>
      </c>
      <c r="AL18" s="1843"/>
      <c r="AM18" s="1844">
        <f>61.09/$AM$95/100*Y18+52.78/$AM$95/100*AB18+93.11/100/$AM$95*AD18</f>
        <v>0</v>
      </c>
      <c r="AN18" s="1887"/>
      <c r="AO18" s="1846"/>
      <c r="AP18" s="1888"/>
      <c r="AQ18" s="1889"/>
      <c r="AR18" s="1849"/>
      <c r="AS18" s="1890">
        <f>0.105*0.5*1.03*0</f>
        <v>0</v>
      </c>
      <c r="AT18" s="2285"/>
      <c r="AU18" s="1799"/>
      <c r="AV18" s="1800"/>
      <c r="AW18" s="1801"/>
      <c r="AX18" s="1802"/>
      <c r="AY18" s="1801"/>
      <c r="AZ18" s="1801"/>
      <c r="BA18" s="1801"/>
      <c r="BB18" s="1801"/>
      <c r="BC18" s="1802"/>
      <c r="BD18" s="1801"/>
      <c r="BE18" s="1803"/>
      <c r="BF18" s="1803">
        <f>6990.588-1000.68-(3525.724-1324/1.45)</f>
        <v>3377.2874482758616</v>
      </c>
      <c r="BG18" s="1801"/>
      <c r="BH18" s="1804"/>
      <c r="BI18" s="1891"/>
      <c r="BJ18" s="1783"/>
      <c r="BK18" s="1783"/>
      <c r="BL18" s="1892"/>
      <c r="BM18" s="1893"/>
      <c r="BN18" s="1805"/>
      <c r="BO18" s="1805"/>
      <c r="BP18" s="1806"/>
      <c r="BQ18" s="1800"/>
      <c r="BR18" s="1801"/>
      <c r="BS18" s="1785"/>
      <c r="BT18" s="1804"/>
      <c r="BU18" s="1807"/>
      <c r="BV18" s="1785"/>
      <c r="BW18" s="1801"/>
      <c r="BX18" s="1801"/>
      <c r="BY18" s="1801">
        <f>10.582*0</f>
        <v>0</v>
      </c>
      <c r="BZ18" s="1804"/>
      <c r="CA18" s="1799"/>
      <c r="CB18" s="1804"/>
      <c r="CC18" s="2267"/>
      <c r="CD18" s="1800"/>
      <c r="CE18" s="1801"/>
      <c r="CF18" s="1801"/>
      <c r="CG18" s="1803">
        <f>(2.95+2.7975)*0</f>
        <v>0</v>
      </c>
      <c r="CH18" s="1801"/>
      <c r="CI18" s="1801">
        <f>24*0</f>
        <v>0</v>
      </c>
      <c r="CJ18" s="1801"/>
      <c r="CK18" s="1801">
        <f>26*0</f>
        <v>0</v>
      </c>
      <c r="CL18" s="1801"/>
      <c r="CM18" s="1801">
        <f>16*0</f>
        <v>0</v>
      </c>
      <c r="CN18" s="1801"/>
      <c r="CO18" s="1801"/>
      <c r="CP18" s="1801"/>
      <c r="CQ18" s="1801"/>
      <c r="CR18" s="1801"/>
      <c r="CS18" s="1801"/>
      <c r="CT18" s="1801"/>
      <c r="CU18" s="1801"/>
      <c r="CV18" s="1801"/>
      <c r="CW18" s="1801"/>
      <c r="CX18" s="1801"/>
      <c r="CY18" s="1801"/>
      <c r="CZ18" s="1801"/>
      <c r="DA18" s="1801"/>
      <c r="DB18" s="1801"/>
      <c r="DC18" s="1801"/>
      <c r="DD18" s="1801"/>
      <c r="DE18" s="1801">
        <f>1*0</f>
        <v>0</v>
      </c>
      <c r="DF18" s="1801"/>
      <c r="DG18" s="1808">
        <f t="shared" si="1"/>
        <v>0</v>
      </c>
      <c r="DH18" s="1808">
        <f t="shared" si="1"/>
        <v>0</v>
      </c>
      <c r="DI18" s="1801">
        <f t="shared" si="1"/>
        <v>0</v>
      </c>
      <c r="DJ18" s="1808"/>
      <c r="DK18" s="1808"/>
      <c r="DL18" s="1808"/>
      <c r="DM18" s="1808"/>
      <c r="DN18" s="1808"/>
      <c r="DO18" s="1808"/>
      <c r="DP18" s="1808"/>
      <c r="DQ18" s="1809"/>
      <c r="DR18" s="1810"/>
      <c r="DS18" s="1808"/>
      <c r="DT18" s="1802"/>
      <c r="DU18" s="1800"/>
      <c r="DV18" s="1804"/>
      <c r="DW18" s="1811"/>
      <c r="DX18" s="1812"/>
      <c r="DY18" s="1812"/>
      <c r="DZ18" s="1812"/>
      <c r="EA18" s="1812"/>
      <c r="EB18" s="1812"/>
      <c r="EC18" s="1812"/>
      <c r="ED18" s="1808"/>
      <c r="EE18" s="1809"/>
      <c r="EF18" s="1799"/>
      <c r="EG18" s="1804"/>
      <c r="EH18" s="1813"/>
      <c r="EI18" s="1812"/>
      <c r="EJ18" s="1812"/>
      <c r="EK18" s="1812"/>
      <c r="EL18" s="1812"/>
      <c r="EM18" s="1812"/>
      <c r="EN18" s="1812"/>
      <c r="EO18" s="1812"/>
      <c r="EP18" s="1812"/>
      <c r="EQ18" s="1812"/>
      <c r="ER18" s="1812"/>
      <c r="ES18" s="1812"/>
      <c r="ET18" s="1812"/>
      <c r="EU18" s="1812"/>
      <c r="EV18" s="1812"/>
      <c r="EW18" s="1812"/>
      <c r="EX18" s="1808"/>
      <c r="EY18" s="1812"/>
      <c r="EZ18" s="1812"/>
      <c r="FA18" s="1814"/>
      <c r="FB18" s="1812"/>
      <c r="FC18" s="1801"/>
      <c r="FD18" s="1801"/>
      <c r="FE18" s="1808"/>
      <c r="FF18" s="1808"/>
      <c r="FG18" s="1808"/>
      <c r="FH18" s="1808"/>
      <c r="FI18" s="1808"/>
      <c r="FJ18" s="1808"/>
      <c r="FK18" s="1808"/>
      <c r="FL18" s="1808"/>
      <c r="FM18" s="1808"/>
      <c r="FN18" s="1808"/>
      <c r="FO18" s="1808"/>
      <c r="FP18" s="1808"/>
      <c r="FQ18" s="1808"/>
      <c r="FR18" s="1808"/>
      <c r="FS18" s="1808"/>
      <c r="FT18" s="1808"/>
      <c r="FU18" s="1808"/>
      <c r="FV18" s="1808"/>
      <c r="FW18" s="1808"/>
      <c r="FX18" s="1808"/>
      <c r="FY18" s="1808"/>
      <c r="FZ18" s="1808"/>
      <c r="GA18" s="1808"/>
      <c r="GB18" s="1808"/>
      <c r="GC18" s="1808"/>
      <c r="GD18" s="1808"/>
      <c r="GE18" s="1808"/>
      <c r="GF18" s="1808"/>
      <c r="GG18" s="1808"/>
      <c r="GH18" s="1815"/>
      <c r="GI18" s="1815"/>
      <c r="GJ18" s="1815"/>
      <c r="GK18" s="1815"/>
      <c r="GL18" s="1815"/>
      <c r="GM18" s="1816"/>
      <c r="GN18" s="1808"/>
      <c r="GO18" s="1808"/>
      <c r="GP18" s="1808"/>
      <c r="GQ18" s="1808"/>
      <c r="GR18" s="1808"/>
      <c r="GS18" s="1808"/>
      <c r="GT18" s="1808"/>
      <c r="GU18" s="1808"/>
      <c r="GV18" s="1808"/>
      <c r="GW18" s="1808"/>
      <c r="GX18" s="1808"/>
      <c r="GY18" s="1808"/>
      <c r="GZ18" s="1808"/>
      <c r="HA18" s="1808"/>
      <c r="HB18" s="1808"/>
      <c r="HC18" s="1808"/>
      <c r="HD18" s="1808"/>
      <c r="HE18" s="1808"/>
      <c r="HF18" s="1808"/>
      <c r="HG18" s="1808"/>
      <c r="HH18" s="1808"/>
      <c r="HI18" s="1808"/>
      <c r="HJ18" s="1808"/>
      <c r="HK18" s="1808"/>
      <c r="HL18" s="1808"/>
      <c r="HM18" s="1808"/>
      <c r="HN18" s="1808"/>
      <c r="HO18" s="1808"/>
      <c r="HP18" s="1808"/>
      <c r="HQ18" s="1808"/>
      <c r="HR18" s="1808"/>
      <c r="HS18" s="1808"/>
      <c r="HT18" s="1808"/>
      <c r="HU18" s="1808"/>
      <c r="HV18" s="1808"/>
      <c r="HW18" s="1808"/>
      <c r="HX18" s="1808"/>
      <c r="HY18" s="1808"/>
      <c r="HZ18" s="1808"/>
      <c r="IA18" s="1808"/>
      <c r="IB18" s="1808"/>
      <c r="IC18" s="1808"/>
      <c r="ID18" s="1808"/>
      <c r="IE18" s="1808"/>
      <c r="IF18" s="1808"/>
      <c r="IG18" s="1808"/>
      <c r="IH18" s="1808"/>
      <c r="II18" s="1808"/>
      <c r="IJ18" s="1808"/>
      <c r="IK18" s="1808"/>
      <c r="IL18" s="1815"/>
      <c r="IM18" s="1813"/>
      <c r="IN18" s="1808"/>
      <c r="IO18" s="1808"/>
      <c r="IP18" s="1808"/>
      <c r="IQ18" s="1817"/>
      <c r="IR18" s="1817"/>
      <c r="IS18" s="1817"/>
      <c r="IT18" s="1817"/>
      <c r="IU18" s="1817"/>
      <c r="IV18" s="1817"/>
      <c r="IW18" s="1817"/>
      <c r="IX18" s="1817"/>
      <c r="IY18" s="1817"/>
      <c r="IZ18" s="1817"/>
      <c r="JA18" s="1817"/>
      <c r="JB18" s="1817"/>
      <c r="JC18" s="1817"/>
      <c r="JD18" s="1817"/>
      <c r="JE18" s="1817"/>
      <c r="JF18" s="1817"/>
      <c r="JG18" s="1817"/>
      <c r="JH18" s="1818"/>
      <c r="JI18" s="1819"/>
      <c r="JJ18" s="1817"/>
      <c r="JK18" s="1817"/>
      <c r="JL18" s="1817"/>
      <c r="JM18" s="1819"/>
      <c r="JN18" s="1816"/>
      <c r="JO18" s="1819"/>
      <c r="JP18" s="1820"/>
      <c r="JQ18" s="1820"/>
      <c r="JR18" s="1820"/>
      <c r="JS18" s="1820"/>
      <c r="JT18" s="1820"/>
      <c r="JU18" s="1820"/>
      <c r="JV18" s="1820"/>
      <c r="JW18" s="1820"/>
      <c r="JX18" s="1820"/>
      <c r="JY18" s="1820"/>
      <c r="JZ18" s="1820"/>
      <c r="KA18" s="1820"/>
      <c r="KB18" s="1820"/>
      <c r="KC18" s="1820"/>
      <c r="KD18" s="1822"/>
      <c r="KE18" s="1822"/>
      <c r="KF18" s="1823"/>
      <c r="KI18" s="1825"/>
    </row>
    <row r="19" spans="1:295" s="1824" customFormat="1" ht="26.25" x14ac:dyDescent="0.25">
      <c r="A19" s="1878"/>
      <c r="B19" s="1827" t="s">
        <v>860</v>
      </c>
      <c r="C19" s="1828">
        <f>64808/1.0176*70%</f>
        <v>44580.974842767289</v>
      </c>
      <c r="D19" s="1829">
        <f>C19/1.2</f>
        <v>37150.812368972744</v>
      </c>
      <c r="E19" s="2267"/>
      <c r="F19" s="1879">
        <f>SUM(G19:K19)</f>
        <v>1</v>
      </c>
      <c r="G19" s="1786"/>
      <c r="H19" s="1880">
        <v>1</v>
      </c>
      <c r="I19" s="1786"/>
      <c r="J19" s="1786"/>
      <c r="K19" s="1786"/>
      <c r="L19" s="1783"/>
      <c r="M19" s="1783"/>
      <c r="N19" s="1881"/>
      <c r="O19" s="1783"/>
      <c r="P19" s="1783"/>
      <c r="Q19" s="1805"/>
      <c r="R19" s="1805"/>
      <c r="S19" s="1783"/>
      <c r="T19" s="1783"/>
      <c r="U19" s="1783"/>
      <c r="V19" s="1785"/>
      <c r="W19" s="2267"/>
      <c r="X19" s="1882"/>
      <c r="Y19" s="1883">
        <v>0</v>
      </c>
      <c r="Z19" s="1883"/>
      <c r="AA19" s="1883"/>
      <c r="AB19" s="1883"/>
      <c r="AC19" s="1884"/>
      <c r="AD19" s="1839"/>
      <c r="AE19" s="1840">
        <f>6.02/100*Y19+4.03/100*AB19+6.89/100*AD19</f>
        <v>0</v>
      </c>
      <c r="AF19" s="1885"/>
      <c r="AG19" s="1886"/>
      <c r="AH19" s="1843">
        <f>19.19/$AH$95/100*AB19</f>
        <v>0</v>
      </c>
      <c r="AI19" s="1843"/>
      <c r="AJ19" s="1843">
        <f>32.89/$AJ$95/100*Y19</f>
        <v>0</v>
      </c>
      <c r="AK19" s="1843">
        <f>23.99/$AK$95/100*AB19</f>
        <v>0</v>
      </c>
      <c r="AL19" s="1843"/>
      <c r="AM19" s="1844">
        <f>61.09/$AM$95/100*Y19+52.78/$AM$95/100*AB19+93.11/100/$AM$95*AD19</f>
        <v>0</v>
      </c>
      <c r="AN19" s="1887"/>
      <c r="AO19" s="1846"/>
      <c r="AP19" s="1888"/>
      <c r="AQ19" s="1889"/>
      <c r="AR19" s="1849"/>
      <c r="AS19" s="1890">
        <v>0</v>
      </c>
      <c r="AT19" s="2285"/>
      <c r="AU19" s="1799"/>
      <c r="AV19" s="1800"/>
      <c r="AW19" s="1801"/>
      <c r="AX19" s="1802"/>
      <c r="AY19" s="1801"/>
      <c r="AZ19" s="1801"/>
      <c r="BA19" s="1801"/>
      <c r="BB19" s="1801"/>
      <c r="BC19" s="1802"/>
      <c r="BD19" s="1801"/>
      <c r="BE19" s="1803"/>
      <c r="BF19" s="1803"/>
      <c r="BG19" s="1801"/>
      <c r="BH19" s="1804"/>
      <c r="BI19" s="1891"/>
      <c r="BJ19" s="1783"/>
      <c r="BK19" s="1783"/>
      <c r="BL19" s="1892"/>
      <c r="BM19" s="1893"/>
      <c r="BN19" s="1805"/>
      <c r="BO19" s="1805"/>
      <c r="BP19" s="1806"/>
      <c r="BQ19" s="1800"/>
      <c r="BR19" s="1801"/>
      <c r="BS19" s="1785"/>
      <c r="BT19" s="1804"/>
      <c r="BU19" s="1807"/>
      <c r="BV19" s="1785"/>
      <c r="BW19" s="1801"/>
      <c r="BX19" s="1801"/>
      <c r="BY19" s="1801"/>
      <c r="BZ19" s="1804"/>
      <c r="CA19" s="1799"/>
      <c r="CB19" s="1804"/>
      <c r="CC19" s="2267"/>
      <c r="CD19" s="1800"/>
      <c r="CE19" s="1801"/>
      <c r="CF19" s="1801"/>
      <c r="CG19" s="1803"/>
      <c r="CH19" s="1801"/>
      <c r="CI19" s="1801"/>
      <c r="CJ19" s="1801"/>
      <c r="CK19" s="1801"/>
      <c r="CL19" s="1801"/>
      <c r="CM19" s="1801"/>
      <c r="CN19" s="1801"/>
      <c r="CO19" s="1801"/>
      <c r="CP19" s="1801"/>
      <c r="CQ19" s="1801"/>
      <c r="CR19" s="1801"/>
      <c r="CS19" s="1801"/>
      <c r="CT19" s="1801"/>
      <c r="CU19" s="1801"/>
      <c r="CV19" s="1801"/>
      <c r="CW19" s="1801"/>
      <c r="CX19" s="1801"/>
      <c r="CY19" s="1801"/>
      <c r="CZ19" s="1801"/>
      <c r="DA19" s="1801"/>
      <c r="DB19" s="1801"/>
      <c r="DC19" s="1801"/>
      <c r="DD19" s="1801"/>
      <c r="DE19" s="1801"/>
      <c r="DF19" s="1801"/>
      <c r="DG19" s="1808"/>
      <c r="DH19" s="1808"/>
      <c r="DI19" s="1801"/>
      <c r="DJ19" s="1808"/>
      <c r="DK19" s="1808"/>
      <c r="DL19" s="1808"/>
      <c r="DM19" s="1808"/>
      <c r="DN19" s="1808"/>
      <c r="DO19" s="1808"/>
      <c r="DP19" s="1808"/>
      <c r="DQ19" s="1809"/>
      <c r="DR19" s="1810"/>
      <c r="DS19" s="1808"/>
      <c r="DT19" s="1802"/>
      <c r="DU19" s="1800"/>
      <c r="DV19" s="1804"/>
      <c r="DW19" s="1811"/>
      <c r="DX19" s="1812"/>
      <c r="DY19" s="1812"/>
      <c r="DZ19" s="1812"/>
      <c r="EA19" s="1812"/>
      <c r="EB19" s="1812"/>
      <c r="EC19" s="1812"/>
      <c r="ED19" s="1808"/>
      <c r="EE19" s="1809"/>
      <c r="EF19" s="1799"/>
      <c r="EG19" s="1804"/>
      <c r="EH19" s="1813"/>
      <c r="EI19" s="1812"/>
      <c r="EJ19" s="1812"/>
      <c r="EK19" s="1812"/>
      <c r="EL19" s="1812"/>
      <c r="EM19" s="1812"/>
      <c r="EN19" s="1812"/>
      <c r="EO19" s="1812"/>
      <c r="EP19" s="1812"/>
      <c r="EQ19" s="1812"/>
      <c r="ER19" s="1812"/>
      <c r="ES19" s="1812"/>
      <c r="ET19" s="1812"/>
      <c r="EU19" s="1812"/>
      <c r="EV19" s="1812"/>
      <c r="EW19" s="1812"/>
      <c r="EX19" s="1808"/>
      <c r="EY19" s="1812"/>
      <c r="EZ19" s="1812"/>
      <c r="FA19" s="1814"/>
      <c r="FB19" s="1812"/>
      <c r="FC19" s="1801"/>
      <c r="FD19" s="1801"/>
      <c r="FE19" s="1808"/>
      <c r="FF19" s="1808"/>
      <c r="FG19" s="1808"/>
      <c r="FH19" s="1808"/>
      <c r="FI19" s="1808"/>
      <c r="FJ19" s="1808"/>
      <c r="FK19" s="1808"/>
      <c r="FL19" s="1808"/>
      <c r="FM19" s="1808"/>
      <c r="FN19" s="1808"/>
      <c r="FO19" s="1808"/>
      <c r="FP19" s="1808"/>
      <c r="FQ19" s="1808"/>
      <c r="FR19" s="1808"/>
      <c r="FS19" s="1808"/>
      <c r="FT19" s="1808"/>
      <c r="FU19" s="1808"/>
      <c r="FV19" s="1808"/>
      <c r="FW19" s="1808"/>
      <c r="FX19" s="1808"/>
      <c r="FY19" s="1808"/>
      <c r="FZ19" s="1808"/>
      <c r="GA19" s="1808"/>
      <c r="GB19" s="1808"/>
      <c r="GC19" s="1808"/>
      <c r="GD19" s="1808"/>
      <c r="GE19" s="1808"/>
      <c r="GF19" s="1808"/>
      <c r="GG19" s="1808"/>
      <c r="GH19" s="1815"/>
      <c r="GI19" s="1815"/>
      <c r="GJ19" s="1815"/>
      <c r="GK19" s="1815"/>
      <c r="GL19" s="1815"/>
      <c r="GM19" s="1816"/>
      <c r="GN19" s="1808"/>
      <c r="GO19" s="1808"/>
      <c r="GP19" s="1808"/>
      <c r="GQ19" s="1808"/>
      <c r="GR19" s="1808"/>
      <c r="GS19" s="1808"/>
      <c r="GT19" s="1808"/>
      <c r="GU19" s="1808"/>
      <c r="GV19" s="1808"/>
      <c r="GW19" s="1808"/>
      <c r="GX19" s="1808"/>
      <c r="GY19" s="1808"/>
      <c r="GZ19" s="1808"/>
      <c r="HA19" s="1808"/>
      <c r="HB19" s="1808"/>
      <c r="HC19" s="1808"/>
      <c r="HD19" s="1808"/>
      <c r="HE19" s="1808"/>
      <c r="HF19" s="1808"/>
      <c r="HG19" s="1808"/>
      <c r="HH19" s="1808"/>
      <c r="HI19" s="1808"/>
      <c r="HJ19" s="1808"/>
      <c r="HK19" s="1808"/>
      <c r="HL19" s="1808"/>
      <c r="HM19" s="1808"/>
      <c r="HN19" s="1808"/>
      <c r="HO19" s="1808"/>
      <c r="HP19" s="1808"/>
      <c r="HQ19" s="1808"/>
      <c r="HR19" s="1808"/>
      <c r="HS19" s="1808"/>
      <c r="HT19" s="1808"/>
      <c r="HU19" s="1808"/>
      <c r="HV19" s="1808"/>
      <c r="HW19" s="1808"/>
      <c r="HX19" s="1808"/>
      <c r="HY19" s="1808"/>
      <c r="HZ19" s="1808"/>
      <c r="IA19" s="1808"/>
      <c r="IB19" s="1808"/>
      <c r="IC19" s="1808"/>
      <c r="ID19" s="1808"/>
      <c r="IE19" s="1808"/>
      <c r="IF19" s="1808"/>
      <c r="IG19" s="1808"/>
      <c r="IH19" s="1808"/>
      <c r="II19" s="1808"/>
      <c r="IJ19" s="1808"/>
      <c r="IK19" s="1808"/>
      <c r="IL19" s="1815"/>
      <c r="IM19" s="1813"/>
      <c r="IN19" s="1808"/>
      <c r="IO19" s="1808"/>
      <c r="IP19" s="1808"/>
      <c r="IQ19" s="1817"/>
      <c r="IR19" s="1817"/>
      <c r="IS19" s="1817"/>
      <c r="IT19" s="1817"/>
      <c r="IU19" s="1817"/>
      <c r="IV19" s="1817"/>
      <c r="IW19" s="1817"/>
      <c r="IX19" s="1817"/>
      <c r="IY19" s="1817"/>
      <c r="IZ19" s="1817"/>
      <c r="JA19" s="1817"/>
      <c r="JB19" s="1817"/>
      <c r="JC19" s="1817"/>
      <c r="JD19" s="1817"/>
      <c r="JE19" s="1817"/>
      <c r="JF19" s="1817"/>
      <c r="JG19" s="1817"/>
      <c r="JH19" s="1818"/>
      <c r="JI19" s="1819"/>
      <c r="JJ19" s="1817"/>
      <c r="JK19" s="1817"/>
      <c r="JL19" s="1817"/>
      <c r="JM19" s="1819"/>
      <c r="JN19" s="1816"/>
      <c r="JO19" s="1819"/>
      <c r="JP19" s="1820"/>
      <c r="JQ19" s="1820"/>
      <c r="JR19" s="1820"/>
      <c r="JS19" s="1820"/>
      <c r="JT19" s="1820"/>
      <c r="JU19" s="1820"/>
      <c r="JV19" s="1820"/>
      <c r="JW19" s="1820"/>
      <c r="JX19" s="1820"/>
      <c r="JY19" s="1820"/>
      <c r="JZ19" s="1820"/>
      <c r="KA19" s="1820"/>
      <c r="KB19" s="1820"/>
      <c r="KC19" s="1820"/>
      <c r="KD19" s="1822"/>
      <c r="KE19" s="1822"/>
      <c r="KF19" s="1823"/>
      <c r="KI19" s="1825"/>
    </row>
    <row r="20" spans="1:295" s="7" customFormat="1" x14ac:dyDescent="0.25">
      <c r="A20" s="357"/>
      <c r="B20" s="409"/>
      <c r="C20" s="178"/>
      <c r="D20" s="360"/>
      <c r="E20" s="2267"/>
      <c r="F20" s="346"/>
      <c r="G20" s="147"/>
      <c r="H20" s="148"/>
      <c r="I20" s="147"/>
      <c r="J20" s="147"/>
      <c r="K20" s="147"/>
      <c r="L20" s="53"/>
      <c r="M20" s="53"/>
      <c r="N20" s="149"/>
      <c r="O20" s="53"/>
      <c r="P20" s="53"/>
      <c r="Q20" s="55"/>
      <c r="R20" s="55"/>
      <c r="S20" s="53"/>
      <c r="T20" s="53"/>
      <c r="U20" s="53"/>
      <c r="V20" s="57"/>
      <c r="W20" s="2267"/>
      <c r="X20" s="355"/>
      <c r="Y20" s="245"/>
      <c r="Z20" s="245"/>
      <c r="AA20" s="245"/>
      <c r="AB20" s="245"/>
      <c r="AC20" s="457"/>
      <c r="AD20" s="342"/>
      <c r="AE20" s="427"/>
      <c r="AF20" s="650"/>
      <c r="AG20" s="651"/>
      <c r="AH20" s="644"/>
      <c r="AI20" s="644"/>
      <c r="AJ20" s="644"/>
      <c r="AK20" s="644"/>
      <c r="AL20" s="644"/>
      <c r="AM20" s="645"/>
      <c r="AN20" s="352"/>
      <c r="AO20" s="215"/>
      <c r="AP20" s="348"/>
      <c r="AQ20" s="441"/>
      <c r="AR20" s="126"/>
      <c r="AS20" s="228"/>
      <c r="AT20" s="2285"/>
      <c r="AU20" s="152"/>
      <c r="AV20" s="134"/>
      <c r="AW20" s="56"/>
      <c r="AX20" s="140"/>
      <c r="AY20" s="56"/>
      <c r="AZ20" s="56"/>
      <c r="BA20" s="56"/>
      <c r="BB20" s="56"/>
      <c r="BC20" s="140"/>
      <c r="BD20" s="56"/>
      <c r="BE20" s="224"/>
      <c r="BF20" s="224"/>
      <c r="BG20" s="56"/>
      <c r="BH20" s="135"/>
      <c r="BI20" s="684"/>
      <c r="BJ20" s="53"/>
      <c r="BK20" s="53"/>
      <c r="BL20" s="679"/>
      <c r="BM20" s="144"/>
      <c r="BN20" s="55"/>
      <c r="BO20" s="55"/>
      <c r="BP20" s="118"/>
      <c r="BQ20" s="134"/>
      <c r="BR20" s="56"/>
      <c r="BS20" s="57"/>
      <c r="BT20" s="135"/>
      <c r="BU20" s="708"/>
      <c r="BV20" s="57"/>
      <c r="BW20" s="56"/>
      <c r="BX20" s="56"/>
      <c r="BY20" s="56"/>
      <c r="BZ20" s="135"/>
      <c r="CA20" s="152"/>
      <c r="CB20" s="135"/>
      <c r="CC20" s="2267"/>
      <c r="CD20" s="134"/>
      <c r="CE20" s="56"/>
      <c r="CF20" s="56"/>
      <c r="CG20" s="224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60"/>
      <c r="DH20" s="60"/>
      <c r="DI20" s="56"/>
      <c r="DJ20" s="60"/>
      <c r="DK20" s="60"/>
      <c r="DL20" s="60"/>
      <c r="DM20" s="60"/>
      <c r="DN20" s="60"/>
      <c r="DO20" s="60"/>
      <c r="DP20" s="60"/>
      <c r="DQ20" s="766"/>
      <c r="DR20" s="924"/>
      <c r="DS20" s="60"/>
      <c r="DT20" s="140"/>
      <c r="DU20" s="134"/>
      <c r="DV20" s="135"/>
      <c r="DW20" s="932"/>
      <c r="DX20" s="690"/>
      <c r="DY20" s="690"/>
      <c r="DZ20" s="690"/>
      <c r="EA20" s="690"/>
      <c r="EB20" s="690"/>
      <c r="EC20" s="690"/>
      <c r="ED20" s="60"/>
      <c r="EE20" s="766"/>
      <c r="EF20" s="152"/>
      <c r="EG20" s="135"/>
      <c r="EH20" s="918"/>
      <c r="EI20" s="690"/>
      <c r="EJ20" s="690"/>
      <c r="EK20" s="690"/>
      <c r="EL20" s="690"/>
      <c r="EM20" s="690"/>
      <c r="EN20" s="690"/>
      <c r="EO20" s="690"/>
      <c r="EP20" s="690"/>
      <c r="EQ20" s="690"/>
      <c r="ER20" s="690"/>
      <c r="ES20" s="690"/>
      <c r="ET20" s="690"/>
      <c r="EU20" s="690"/>
      <c r="EV20" s="690"/>
      <c r="EW20" s="690"/>
      <c r="EX20" s="60"/>
      <c r="EY20" s="690"/>
      <c r="EZ20" s="690"/>
      <c r="FA20" s="474"/>
      <c r="FB20" s="690"/>
      <c r="FC20" s="56"/>
      <c r="FD20" s="56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807"/>
      <c r="GI20" s="807"/>
      <c r="GJ20" s="807"/>
      <c r="GK20" s="807"/>
      <c r="GL20" s="807"/>
      <c r="GM20" s="169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807"/>
      <c r="IM20" s="918"/>
      <c r="IN20" s="60"/>
      <c r="IO20" s="60"/>
      <c r="IP20" s="60"/>
      <c r="IQ20" s="58"/>
      <c r="IR20" s="58"/>
      <c r="IS20" s="58"/>
      <c r="IT20" s="58"/>
      <c r="IU20" s="58"/>
      <c r="IV20" s="58"/>
      <c r="IW20" s="58"/>
      <c r="IX20" s="58"/>
      <c r="IY20" s="58"/>
      <c r="IZ20" s="58"/>
      <c r="JA20" s="58"/>
      <c r="JB20" s="58"/>
      <c r="JC20" s="58"/>
      <c r="JD20" s="58"/>
      <c r="JE20" s="58"/>
      <c r="JF20" s="58"/>
      <c r="JG20" s="58"/>
      <c r="JH20" s="59"/>
      <c r="JI20" s="61"/>
      <c r="JJ20" s="58"/>
      <c r="JK20" s="58"/>
      <c r="JL20" s="58"/>
      <c r="JM20" s="61"/>
      <c r="JN20" s="169"/>
      <c r="JO20" s="61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18"/>
      <c r="KE20" s="18"/>
      <c r="KF20" s="1070"/>
      <c r="KI20" s="221"/>
    </row>
    <row r="21" spans="1:295" s="7" customFormat="1" ht="15.75" hidden="1" customHeight="1" x14ac:dyDescent="0.25">
      <c r="A21" s="357"/>
      <c r="B21" s="411" t="s">
        <v>517</v>
      </c>
      <c r="C21" s="178"/>
      <c r="D21" s="360"/>
      <c r="E21" s="2267"/>
      <c r="F21" s="346"/>
      <c r="G21" s="147"/>
      <c r="H21" s="148"/>
      <c r="I21" s="147"/>
      <c r="J21" s="147"/>
      <c r="K21" s="147"/>
      <c r="L21" s="53"/>
      <c r="M21" s="53"/>
      <c r="N21" s="149"/>
      <c r="O21" s="53"/>
      <c r="P21" s="53"/>
      <c r="Q21" s="55"/>
      <c r="R21" s="55"/>
      <c r="S21" s="53"/>
      <c r="T21" s="53"/>
      <c r="U21" s="53"/>
      <c r="V21" s="57"/>
      <c r="W21" s="2267"/>
      <c r="X21" s="355"/>
      <c r="Y21" s="245"/>
      <c r="Z21" s="245"/>
      <c r="AA21" s="245"/>
      <c r="AB21" s="245"/>
      <c r="AC21" s="457"/>
      <c r="AD21" s="342"/>
      <c r="AE21" s="427"/>
      <c r="AF21" s="650"/>
      <c r="AG21" s="651"/>
      <c r="AH21" s="644"/>
      <c r="AI21" s="644"/>
      <c r="AJ21" s="644"/>
      <c r="AK21" s="644"/>
      <c r="AL21" s="644"/>
      <c r="AM21" s="645"/>
      <c r="AN21" s="352"/>
      <c r="AO21" s="215"/>
      <c r="AP21" s="348"/>
      <c r="AQ21" s="441"/>
      <c r="AR21" s="126"/>
      <c r="AS21" s="228"/>
      <c r="AT21" s="2285"/>
      <c r="AU21" s="152"/>
      <c r="AV21" s="134"/>
      <c r="AW21" s="56"/>
      <c r="AX21" s="140"/>
      <c r="AY21" s="56"/>
      <c r="AZ21" s="56"/>
      <c r="BA21" s="56"/>
      <c r="BB21" s="56"/>
      <c r="BC21" s="140"/>
      <c r="BD21" s="56"/>
      <c r="BE21" s="224"/>
      <c r="BF21" s="224"/>
      <c r="BG21" s="56"/>
      <c r="BH21" s="135"/>
      <c r="BI21" s="684"/>
      <c r="BJ21" s="53"/>
      <c r="BK21" s="53"/>
      <c r="BL21" s="679"/>
      <c r="BM21" s="582"/>
      <c r="BN21" s="566"/>
      <c r="BO21" s="566"/>
      <c r="BP21" s="583"/>
      <c r="BQ21" s="578"/>
      <c r="BR21" s="56"/>
      <c r="BS21" s="57"/>
      <c r="BT21" s="135"/>
      <c r="BU21" s="708"/>
      <c r="BV21" s="57"/>
      <c r="BW21" s="56"/>
      <c r="BX21" s="56"/>
      <c r="BY21" s="56"/>
      <c r="BZ21" s="135"/>
      <c r="CA21" s="152"/>
      <c r="CB21" s="135"/>
      <c r="CC21" s="2267"/>
      <c r="CD21" s="134"/>
      <c r="CE21" s="56"/>
      <c r="CF21" s="56"/>
      <c r="CG21" s="224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60"/>
      <c r="DH21" s="60"/>
      <c r="DI21" s="56"/>
      <c r="DJ21" s="60"/>
      <c r="DK21" s="60"/>
      <c r="DL21" s="60"/>
      <c r="DM21" s="60"/>
      <c r="DN21" s="60"/>
      <c r="DO21" s="60"/>
      <c r="DP21" s="60"/>
      <c r="DQ21" s="766"/>
      <c r="DR21" s="924"/>
      <c r="DS21" s="60"/>
      <c r="DT21" s="140"/>
      <c r="DU21" s="134"/>
      <c r="DV21" s="135"/>
      <c r="DW21" s="932"/>
      <c r="DX21" s="690"/>
      <c r="DY21" s="690"/>
      <c r="DZ21" s="690"/>
      <c r="EA21" s="690"/>
      <c r="EB21" s="690"/>
      <c r="EC21" s="690"/>
      <c r="ED21" s="60"/>
      <c r="EE21" s="766"/>
      <c r="EF21" s="152"/>
      <c r="EG21" s="135"/>
      <c r="EH21" s="918"/>
      <c r="EI21" s="690"/>
      <c r="EJ21" s="690"/>
      <c r="EK21" s="690"/>
      <c r="EL21" s="690"/>
      <c r="EM21" s="690"/>
      <c r="EN21" s="690"/>
      <c r="EO21" s="690"/>
      <c r="EP21" s="690"/>
      <c r="EQ21" s="690"/>
      <c r="ER21" s="690"/>
      <c r="ES21" s="690"/>
      <c r="ET21" s="690"/>
      <c r="EU21" s="690"/>
      <c r="EV21" s="690"/>
      <c r="EW21" s="690"/>
      <c r="EX21" s="60"/>
      <c r="EY21" s="690"/>
      <c r="EZ21" s="690"/>
      <c r="FA21" s="474"/>
      <c r="FB21" s="690"/>
      <c r="FC21" s="56"/>
      <c r="FD21" s="56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807"/>
      <c r="GI21" s="807"/>
      <c r="GJ21" s="807"/>
      <c r="GK21" s="807"/>
      <c r="GL21" s="807"/>
      <c r="GM21" s="169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807"/>
      <c r="IM21" s="918"/>
      <c r="IN21" s="60"/>
      <c r="IO21" s="60"/>
      <c r="IP21" s="60"/>
      <c r="IQ21" s="58"/>
      <c r="IR21" s="58"/>
      <c r="IS21" s="58"/>
      <c r="IT21" s="58"/>
      <c r="IU21" s="58"/>
      <c r="IV21" s="58"/>
      <c r="IW21" s="58"/>
      <c r="IX21" s="58"/>
      <c r="IY21" s="58"/>
      <c r="IZ21" s="58"/>
      <c r="JA21" s="58"/>
      <c r="JB21" s="58"/>
      <c r="JC21" s="58"/>
      <c r="JD21" s="58"/>
      <c r="JE21" s="58"/>
      <c r="JF21" s="58"/>
      <c r="JG21" s="58"/>
      <c r="JH21" s="59"/>
      <c r="JI21" s="61"/>
      <c r="JJ21" s="58"/>
      <c r="JK21" s="58"/>
      <c r="JL21" s="58"/>
      <c r="JM21" s="61"/>
      <c r="JN21" s="169"/>
      <c r="JO21" s="61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18"/>
      <c r="KE21" s="18"/>
      <c r="KF21" s="1070"/>
      <c r="KI21" s="221"/>
    </row>
    <row r="22" spans="1:295" s="7" customFormat="1" ht="15.75" hidden="1" customHeight="1" x14ac:dyDescent="0.25">
      <c r="A22" s="357"/>
      <c r="B22" s="409" t="s">
        <v>601</v>
      </c>
      <c r="C22" s="178"/>
      <c r="D22" s="360">
        <f>C22</f>
        <v>0</v>
      </c>
      <c r="E22" s="2267"/>
      <c r="F22" s="346">
        <f>SUM(G22:K22)</f>
        <v>0</v>
      </c>
      <c r="G22" s="147"/>
      <c r="H22" s="148"/>
      <c r="I22" s="147"/>
      <c r="J22" s="147"/>
      <c r="K22" s="147"/>
      <c r="L22" s="53"/>
      <c r="M22" s="53"/>
      <c r="N22" s="149"/>
      <c r="O22" s="53"/>
      <c r="P22" s="53"/>
      <c r="Q22" s="55"/>
      <c r="R22" s="55"/>
      <c r="S22" s="53"/>
      <c r="T22" s="53"/>
      <c r="U22" s="53"/>
      <c r="V22" s="57"/>
      <c r="W22" s="2267"/>
      <c r="X22" s="355"/>
      <c r="Y22" s="245"/>
      <c r="Z22" s="245"/>
      <c r="AA22" s="245"/>
      <c r="AB22" s="245"/>
      <c r="AC22" s="457"/>
      <c r="AD22" s="342"/>
      <c r="AE22" s="427">
        <f>6.02/100*Y22+4.03/100*AB22+6.89/100*AD22</f>
        <v>0</v>
      </c>
      <c r="AF22" s="650"/>
      <c r="AG22" s="651"/>
      <c r="AH22" s="644">
        <f>19.19/$AH$95/100*AB22</f>
        <v>0</v>
      </c>
      <c r="AI22" s="644"/>
      <c r="AJ22" s="644">
        <f>32.89/$AJ$95/100*Y22</f>
        <v>0</v>
      </c>
      <c r="AK22" s="644">
        <f>23.99/$AK$95/100*AB22</f>
        <v>0</v>
      </c>
      <c r="AL22" s="644"/>
      <c r="AM22" s="645">
        <f>61.09/$AM$95/100*Y22+52.78/$AM$95/100*AB22+93.11/100/$AM$95*AD22</f>
        <v>0</v>
      </c>
      <c r="AN22" s="352"/>
      <c r="AO22" s="215"/>
      <c r="AP22" s="348"/>
      <c r="AQ22" s="441"/>
      <c r="AR22" s="126"/>
      <c r="AS22" s="228"/>
      <c r="AT22" s="2285"/>
      <c r="AU22" s="152"/>
      <c r="AV22" s="134"/>
      <c r="AW22" s="56"/>
      <c r="AX22" s="140"/>
      <c r="AY22" s="56"/>
      <c r="AZ22" s="56"/>
      <c r="BA22" s="56"/>
      <c r="BB22" s="56"/>
      <c r="BC22" s="140"/>
      <c r="BD22" s="56"/>
      <c r="BE22" s="224"/>
      <c r="BF22" s="224"/>
      <c r="BG22" s="56"/>
      <c r="BH22" s="135"/>
      <c r="BI22" s="684"/>
      <c r="BJ22" s="53"/>
      <c r="BK22" s="53"/>
      <c r="BL22" s="679"/>
      <c r="BM22" s="144"/>
      <c r="BN22" s="55"/>
      <c r="BO22" s="55"/>
      <c r="BP22" s="118"/>
      <c r="BQ22" s="134"/>
      <c r="BR22" s="56"/>
      <c r="BS22" s="57"/>
      <c r="BT22" s="135"/>
      <c r="BU22" s="708"/>
      <c r="BV22" s="57"/>
      <c r="BW22" s="56"/>
      <c r="BX22" s="56"/>
      <c r="BY22" s="56"/>
      <c r="BZ22" s="135"/>
      <c r="CA22" s="152"/>
      <c r="CB22" s="135"/>
      <c r="CC22" s="2267"/>
      <c r="CD22" s="134"/>
      <c r="CE22" s="56"/>
      <c r="CF22" s="56"/>
      <c r="CG22" s="224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60"/>
      <c r="DH22" s="60"/>
      <c r="DI22" s="56"/>
      <c r="DJ22" s="60"/>
      <c r="DK22" s="60"/>
      <c r="DL22" s="60"/>
      <c r="DM22" s="60"/>
      <c r="DN22" s="60"/>
      <c r="DO22" s="60"/>
      <c r="DP22" s="60"/>
      <c r="DQ22" s="766"/>
      <c r="DR22" s="924"/>
      <c r="DS22" s="60"/>
      <c r="DT22" s="140"/>
      <c r="DU22" s="134"/>
      <c r="DV22" s="135"/>
      <c r="DW22" s="932"/>
      <c r="DX22" s="690"/>
      <c r="DY22" s="690"/>
      <c r="DZ22" s="690"/>
      <c r="EA22" s="690"/>
      <c r="EB22" s="690"/>
      <c r="EC22" s="690"/>
      <c r="ED22" s="60"/>
      <c r="EE22" s="766"/>
      <c r="EF22" s="152"/>
      <c r="EG22" s="135"/>
      <c r="EH22" s="918"/>
      <c r="EI22" s="690"/>
      <c r="EJ22" s="690"/>
      <c r="EK22" s="690"/>
      <c r="EL22" s="690"/>
      <c r="EM22" s="690"/>
      <c r="EN22" s="690"/>
      <c r="EO22" s="690"/>
      <c r="EP22" s="690"/>
      <c r="EQ22" s="690"/>
      <c r="ER22" s="690"/>
      <c r="ES22" s="690"/>
      <c r="ET22" s="690"/>
      <c r="EU22" s="690"/>
      <c r="EV22" s="690"/>
      <c r="EW22" s="690"/>
      <c r="EX22" s="60"/>
      <c r="EY22" s="690"/>
      <c r="EZ22" s="690"/>
      <c r="FA22" s="474"/>
      <c r="FB22" s="690"/>
      <c r="FC22" s="56"/>
      <c r="FD22" s="56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807"/>
      <c r="GI22" s="807"/>
      <c r="GJ22" s="807"/>
      <c r="GK22" s="807"/>
      <c r="GL22" s="807"/>
      <c r="GM22" s="169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807"/>
      <c r="IM22" s="918"/>
      <c r="IN22" s="60"/>
      <c r="IO22" s="60"/>
      <c r="IP22" s="60"/>
      <c r="IQ22" s="58"/>
      <c r="IR22" s="58"/>
      <c r="IS22" s="58"/>
      <c r="IT22" s="58"/>
      <c r="IU22" s="58"/>
      <c r="IV22" s="58"/>
      <c r="IW22" s="58"/>
      <c r="IX22" s="58"/>
      <c r="IY22" s="58"/>
      <c r="IZ22" s="58"/>
      <c r="JA22" s="58"/>
      <c r="JB22" s="58"/>
      <c r="JC22" s="58"/>
      <c r="JD22" s="58"/>
      <c r="JE22" s="58"/>
      <c r="JF22" s="58"/>
      <c r="JG22" s="58"/>
      <c r="JH22" s="59"/>
      <c r="JI22" s="61"/>
      <c r="JJ22" s="58"/>
      <c r="JK22" s="58"/>
      <c r="JL22" s="58"/>
      <c r="JM22" s="61"/>
      <c r="JN22" s="169"/>
      <c r="JO22" s="61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18"/>
      <c r="KE22" s="18"/>
      <c r="KF22" s="1070"/>
      <c r="KI22" s="221"/>
    </row>
    <row r="23" spans="1:295" s="7" customFormat="1" ht="15.75" hidden="1" customHeight="1" x14ac:dyDescent="0.25">
      <c r="A23" s="357"/>
      <c r="B23" s="412"/>
      <c r="C23" s="63"/>
      <c r="D23" s="361"/>
      <c r="E23" s="2267"/>
      <c r="F23" s="346"/>
      <c r="G23" s="147"/>
      <c r="H23" s="148"/>
      <c r="I23" s="147"/>
      <c r="J23" s="147"/>
      <c r="K23" s="147"/>
      <c r="L23" s="53"/>
      <c r="M23" s="53"/>
      <c r="N23" s="149"/>
      <c r="O23" s="53"/>
      <c r="P23" s="53"/>
      <c r="Q23" s="55"/>
      <c r="R23" s="55"/>
      <c r="S23" s="53"/>
      <c r="T23" s="53"/>
      <c r="U23" s="53"/>
      <c r="V23" s="57"/>
      <c r="W23" s="2267"/>
      <c r="X23" s="245"/>
      <c r="Y23" s="245"/>
      <c r="Z23" s="245"/>
      <c r="AA23" s="245"/>
      <c r="AB23" s="245"/>
      <c r="AC23" s="457"/>
      <c r="AD23" s="342"/>
      <c r="AE23" s="427"/>
      <c r="AF23" s="642"/>
      <c r="AG23" s="643"/>
      <c r="AH23" s="644"/>
      <c r="AI23" s="644"/>
      <c r="AJ23" s="644"/>
      <c r="AK23" s="644"/>
      <c r="AL23" s="644"/>
      <c r="AM23" s="645"/>
      <c r="AN23" s="352"/>
      <c r="AO23" s="215"/>
      <c r="AP23" s="348"/>
      <c r="AQ23" s="441"/>
      <c r="AR23" s="126"/>
      <c r="AS23" s="228"/>
      <c r="AT23" s="2285"/>
      <c r="AU23" s="152"/>
      <c r="AV23" s="134"/>
      <c r="AW23" s="56"/>
      <c r="AX23" s="140"/>
      <c r="AY23" s="56"/>
      <c r="AZ23" s="56"/>
      <c r="BA23" s="56"/>
      <c r="BB23" s="56"/>
      <c r="BC23" s="140"/>
      <c r="BD23" s="56"/>
      <c r="BE23" s="224"/>
      <c r="BF23" s="224"/>
      <c r="BG23" s="56"/>
      <c r="BH23" s="135"/>
      <c r="BI23" s="684"/>
      <c r="BJ23" s="55"/>
      <c r="BK23" s="55"/>
      <c r="BL23" s="118"/>
      <c r="BM23" s="144"/>
      <c r="BN23" s="55"/>
      <c r="BO23" s="55"/>
      <c r="BP23" s="118"/>
      <c r="BQ23" s="134"/>
      <c r="BR23" s="56"/>
      <c r="BS23" s="57"/>
      <c r="BT23" s="135"/>
      <c r="BU23" s="708"/>
      <c r="BV23" s="57"/>
      <c r="BW23" s="56"/>
      <c r="BX23" s="56"/>
      <c r="BY23" s="56"/>
      <c r="BZ23" s="135"/>
      <c r="CA23" s="152"/>
      <c r="CB23" s="135"/>
      <c r="CC23" s="2267"/>
      <c r="CD23" s="134"/>
      <c r="CE23" s="56"/>
      <c r="CF23" s="56"/>
      <c r="CG23" s="224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60"/>
      <c r="DH23" s="60"/>
      <c r="DI23" s="56"/>
      <c r="DJ23" s="60"/>
      <c r="DK23" s="60"/>
      <c r="DL23" s="60"/>
      <c r="DM23" s="60"/>
      <c r="DN23" s="60"/>
      <c r="DO23" s="60"/>
      <c r="DP23" s="60"/>
      <c r="DQ23" s="766"/>
      <c r="DR23" s="924"/>
      <c r="DS23" s="60"/>
      <c r="DT23" s="140"/>
      <c r="DU23" s="134"/>
      <c r="DV23" s="135"/>
      <c r="DW23" s="932"/>
      <c r="DX23" s="690"/>
      <c r="DY23" s="690"/>
      <c r="DZ23" s="690"/>
      <c r="EA23" s="690"/>
      <c r="EB23" s="690"/>
      <c r="EC23" s="690"/>
      <c r="ED23" s="60"/>
      <c r="EE23" s="766"/>
      <c r="EF23" s="152"/>
      <c r="EG23" s="135"/>
      <c r="EH23" s="918"/>
      <c r="EI23" s="690"/>
      <c r="EJ23" s="690"/>
      <c r="EK23" s="690"/>
      <c r="EL23" s="690"/>
      <c r="EM23" s="690"/>
      <c r="EN23" s="690"/>
      <c r="EO23" s="690"/>
      <c r="EP23" s="690"/>
      <c r="EQ23" s="690"/>
      <c r="ER23" s="690"/>
      <c r="ES23" s="690"/>
      <c r="ET23" s="690"/>
      <c r="EU23" s="690"/>
      <c r="EV23" s="690"/>
      <c r="EW23" s="690"/>
      <c r="EX23" s="60"/>
      <c r="EY23" s="690"/>
      <c r="EZ23" s="690"/>
      <c r="FA23" s="474"/>
      <c r="FB23" s="690"/>
      <c r="FC23" s="56"/>
      <c r="FD23" s="56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807"/>
      <c r="GI23" s="807"/>
      <c r="GJ23" s="807"/>
      <c r="GK23" s="807"/>
      <c r="GL23" s="807"/>
      <c r="GM23" s="169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807"/>
      <c r="IM23" s="918"/>
      <c r="IN23" s="60"/>
      <c r="IO23" s="60"/>
      <c r="IP23" s="60"/>
      <c r="IQ23" s="58"/>
      <c r="IR23" s="58"/>
      <c r="IS23" s="58"/>
      <c r="IT23" s="58"/>
      <c r="IU23" s="58"/>
      <c r="IV23" s="58"/>
      <c r="IW23" s="58"/>
      <c r="IX23" s="58"/>
      <c r="IY23" s="58"/>
      <c r="IZ23" s="58"/>
      <c r="JA23" s="58"/>
      <c r="JB23" s="58"/>
      <c r="JC23" s="58"/>
      <c r="JD23" s="58"/>
      <c r="JE23" s="58"/>
      <c r="JF23" s="58"/>
      <c r="JG23" s="58"/>
      <c r="JH23" s="59"/>
      <c r="JI23" s="61"/>
      <c r="JJ23" s="58"/>
      <c r="JK23" s="58"/>
      <c r="JL23" s="58"/>
      <c r="JM23" s="61"/>
      <c r="JN23" s="169"/>
      <c r="JO23" s="61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18"/>
      <c r="KE23" s="18"/>
      <c r="KF23" s="1070"/>
      <c r="KI23" s="221"/>
    </row>
    <row r="24" spans="1:295" s="7" customFormat="1" x14ac:dyDescent="0.25">
      <c r="A24" s="357"/>
      <c r="B24" s="410" t="s">
        <v>231</v>
      </c>
      <c r="C24" s="63"/>
      <c r="D24" s="361"/>
      <c r="E24" s="2267"/>
      <c r="F24" s="346"/>
      <c r="G24" s="147"/>
      <c r="H24" s="148"/>
      <c r="I24" s="147"/>
      <c r="J24" s="147"/>
      <c r="K24" s="147"/>
      <c r="L24" s="53"/>
      <c r="M24" s="53"/>
      <c r="N24" s="149"/>
      <c r="O24" s="53"/>
      <c r="P24" s="53"/>
      <c r="Q24" s="55"/>
      <c r="R24" s="55"/>
      <c r="S24" s="53"/>
      <c r="T24" s="53"/>
      <c r="U24" s="53"/>
      <c r="V24" s="57"/>
      <c r="W24" s="2267"/>
      <c r="X24" s="245"/>
      <c r="Y24" s="245"/>
      <c r="Z24" s="245"/>
      <c r="AA24" s="245"/>
      <c r="AB24" s="245"/>
      <c r="AC24" s="457"/>
      <c r="AD24" s="342"/>
      <c r="AE24" s="427"/>
      <c r="AF24" s="642"/>
      <c r="AG24" s="643"/>
      <c r="AH24" s="644"/>
      <c r="AI24" s="644"/>
      <c r="AJ24" s="644"/>
      <c r="AK24" s="644"/>
      <c r="AL24" s="644"/>
      <c r="AM24" s="645"/>
      <c r="AN24" s="352"/>
      <c r="AO24" s="215"/>
      <c r="AP24" s="348"/>
      <c r="AQ24" s="441"/>
      <c r="AR24" s="126"/>
      <c r="AS24" s="228"/>
      <c r="AT24" s="2285"/>
      <c r="AU24" s="152"/>
      <c r="AV24" s="134"/>
      <c r="AW24" s="56"/>
      <c r="AX24" s="140"/>
      <c r="AY24" s="56"/>
      <c r="AZ24" s="56"/>
      <c r="BA24" s="56"/>
      <c r="BB24" s="56"/>
      <c r="BC24" s="140"/>
      <c r="BD24" s="56"/>
      <c r="BE24" s="224"/>
      <c r="BF24" s="224"/>
      <c r="BG24" s="56"/>
      <c r="BH24" s="135"/>
      <c r="BI24" s="684"/>
      <c r="BJ24" s="55"/>
      <c r="BK24" s="55"/>
      <c r="BL24" s="118"/>
      <c r="BM24" s="144"/>
      <c r="BN24" s="55"/>
      <c r="BO24" s="55"/>
      <c r="BP24" s="118"/>
      <c r="BQ24" s="134"/>
      <c r="BR24" s="56"/>
      <c r="BS24" s="57"/>
      <c r="BT24" s="135"/>
      <c r="BU24" s="708"/>
      <c r="BV24" s="57"/>
      <c r="BW24" s="56"/>
      <c r="BX24" s="56"/>
      <c r="BY24" s="56"/>
      <c r="BZ24" s="135"/>
      <c r="CA24" s="152"/>
      <c r="CB24" s="135"/>
      <c r="CC24" s="2267"/>
      <c r="CD24" s="134"/>
      <c r="CE24" s="56"/>
      <c r="CF24" s="56"/>
      <c r="CG24" s="224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60"/>
      <c r="DH24" s="60"/>
      <c r="DI24" s="56"/>
      <c r="DJ24" s="60"/>
      <c r="DK24" s="60"/>
      <c r="DL24" s="60"/>
      <c r="DM24" s="60"/>
      <c r="DN24" s="60"/>
      <c r="DO24" s="60"/>
      <c r="DP24" s="60"/>
      <c r="DQ24" s="766"/>
      <c r="DR24" s="924"/>
      <c r="DS24" s="60"/>
      <c r="DT24" s="140"/>
      <c r="DU24" s="134"/>
      <c r="DV24" s="135"/>
      <c r="DW24" s="932"/>
      <c r="DX24" s="690"/>
      <c r="DY24" s="690"/>
      <c r="DZ24" s="690"/>
      <c r="EA24" s="690"/>
      <c r="EB24" s="690"/>
      <c r="EC24" s="690"/>
      <c r="ED24" s="60"/>
      <c r="EE24" s="766"/>
      <c r="EF24" s="152"/>
      <c r="EG24" s="135"/>
      <c r="EH24" s="918"/>
      <c r="EI24" s="690"/>
      <c r="EJ24" s="690"/>
      <c r="EK24" s="690"/>
      <c r="EL24" s="690"/>
      <c r="EM24" s="690"/>
      <c r="EN24" s="690"/>
      <c r="EO24" s="690"/>
      <c r="EP24" s="690"/>
      <c r="EQ24" s="690"/>
      <c r="ER24" s="690"/>
      <c r="ES24" s="690"/>
      <c r="ET24" s="690"/>
      <c r="EU24" s="690"/>
      <c r="EV24" s="690"/>
      <c r="EW24" s="690"/>
      <c r="EX24" s="60"/>
      <c r="EY24" s="690"/>
      <c r="EZ24" s="690"/>
      <c r="FA24" s="474"/>
      <c r="FB24" s="690"/>
      <c r="FC24" s="56"/>
      <c r="FD24" s="56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807"/>
      <c r="GI24" s="807"/>
      <c r="GJ24" s="807"/>
      <c r="GK24" s="807"/>
      <c r="GL24" s="807"/>
      <c r="GM24" s="169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807"/>
      <c r="IM24" s="918"/>
      <c r="IN24" s="60"/>
      <c r="IO24" s="60"/>
      <c r="IP24" s="60"/>
      <c r="IQ24" s="58"/>
      <c r="IR24" s="58"/>
      <c r="IS24" s="58"/>
      <c r="IT24" s="58"/>
      <c r="IU24" s="58"/>
      <c r="IV24" s="58"/>
      <c r="IW24" s="58"/>
      <c r="IX24" s="58"/>
      <c r="IY24" s="58"/>
      <c r="IZ24" s="58"/>
      <c r="JA24" s="58"/>
      <c r="JB24" s="58"/>
      <c r="JC24" s="58"/>
      <c r="JD24" s="58"/>
      <c r="JE24" s="58"/>
      <c r="JF24" s="58"/>
      <c r="JG24" s="58"/>
      <c r="JH24" s="59"/>
      <c r="JI24" s="61"/>
      <c r="JJ24" s="58"/>
      <c r="JK24" s="58"/>
      <c r="JL24" s="58"/>
      <c r="JM24" s="61"/>
      <c r="JN24" s="169"/>
      <c r="JO24" s="61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18"/>
      <c r="KE24" s="18"/>
      <c r="KF24" s="1070"/>
      <c r="KI24" s="221"/>
    </row>
    <row r="25" spans="1:295" s="7" customFormat="1" ht="26.25" x14ac:dyDescent="0.25">
      <c r="A25" s="357"/>
      <c r="B25" s="1078" t="s">
        <v>270</v>
      </c>
      <c r="C25" s="178">
        <f>SUM(C26:C26)</f>
        <v>10040.634</v>
      </c>
      <c r="D25" s="360">
        <f t="shared" ref="D25" si="3">C25/1.2</f>
        <v>8367.1949999999997</v>
      </c>
      <c r="E25" s="2267"/>
      <c r="F25" s="346"/>
      <c r="G25" s="147"/>
      <c r="H25" s="148"/>
      <c r="I25" s="147"/>
      <c r="J25" s="147"/>
      <c r="K25" s="147"/>
      <c r="L25" s="53"/>
      <c r="M25" s="53"/>
      <c r="N25" s="149"/>
      <c r="O25" s="53"/>
      <c r="P25" s="53"/>
      <c r="Q25" s="55"/>
      <c r="R25" s="55"/>
      <c r="S25" s="53"/>
      <c r="T25" s="53"/>
      <c r="U25" s="53"/>
      <c r="V25" s="57"/>
      <c r="W25" s="2267"/>
      <c r="X25" s="245"/>
      <c r="Y25" s="245"/>
      <c r="Z25" s="245"/>
      <c r="AA25" s="245"/>
      <c r="AB25" s="245"/>
      <c r="AC25" s="457"/>
      <c r="AD25" s="342"/>
      <c r="AE25" s="427"/>
      <c r="AF25" s="642"/>
      <c r="AG25" s="643"/>
      <c r="AH25" s="644"/>
      <c r="AI25" s="644"/>
      <c r="AJ25" s="644"/>
      <c r="AK25" s="644"/>
      <c r="AL25" s="644"/>
      <c r="AM25" s="645"/>
      <c r="AN25" s="352"/>
      <c r="AO25" s="215"/>
      <c r="AP25" s="348"/>
      <c r="AQ25" s="441"/>
      <c r="AR25" s="126"/>
      <c r="AS25" s="228"/>
      <c r="AT25" s="2285"/>
      <c r="AU25" s="152"/>
      <c r="AV25" s="134"/>
      <c r="AW25" s="56"/>
      <c r="AX25" s="140"/>
      <c r="AY25" s="56"/>
      <c r="AZ25" s="56"/>
      <c r="BA25" s="56"/>
      <c r="BB25" s="56"/>
      <c r="BC25" s="140"/>
      <c r="BD25" s="56"/>
      <c r="BE25" s="224"/>
      <c r="BF25" s="224"/>
      <c r="BG25" s="56"/>
      <c r="BH25" s="135"/>
      <c r="BI25" s="684"/>
      <c r="BJ25" s="55"/>
      <c r="BK25" s="55"/>
      <c r="BL25" s="118"/>
      <c r="BM25" s="144"/>
      <c r="BN25" s="55"/>
      <c r="BO25" s="55"/>
      <c r="BP25" s="118"/>
      <c r="BQ25" s="134"/>
      <c r="BR25" s="56"/>
      <c r="BS25" s="57"/>
      <c r="BT25" s="135"/>
      <c r="BU25" s="708"/>
      <c r="BV25" s="57"/>
      <c r="BW25" s="56"/>
      <c r="BX25" s="56"/>
      <c r="BY25" s="56"/>
      <c r="BZ25" s="135"/>
      <c r="CA25" s="152"/>
      <c r="CB25" s="135"/>
      <c r="CC25" s="2267"/>
      <c r="CD25" s="134"/>
      <c r="CE25" s="56"/>
      <c r="CF25" s="56"/>
      <c r="CG25" s="224"/>
      <c r="CH25" s="56"/>
      <c r="CI25" s="56"/>
      <c r="CJ25" s="56"/>
      <c r="CK25" s="56"/>
      <c r="CL25" s="56"/>
      <c r="CM25" s="56"/>
      <c r="CN25" s="630"/>
      <c r="CO25" s="630"/>
      <c r="CP25" s="630"/>
      <c r="CQ25" s="630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60"/>
      <c r="DH25" s="60"/>
      <c r="DI25" s="56"/>
      <c r="DJ25" s="60"/>
      <c r="DK25" s="474"/>
      <c r="DL25" s="60"/>
      <c r="DM25" s="60"/>
      <c r="DN25" s="60"/>
      <c r="DO25" s="60"/>
      <c r="DP25" s="60"/>
      <c r="DQ25" s="767"/>
      <c r="DR25" s="924"/>
      <c r="DS25" s="60"/>
      <c r="DT25" s="140"/>
      <c r="DU25" s="134"/>
      <c r="DV25" s="135"/>
      <c r="DW25" s="771"/>
      <c r="DX25" s="723"/>
      <c r="DY25" s="723"/>
      <c r="DZ25" s="723"/>
      <c r="EA25" s="723"/>
      <c r="EB25" s="723"/>
      <c r="EC25" s="723"/>
      <c r="ED25" s="631"/>
      <c r="EE25" s="1079"/>
      <c r="EF25" s="152"/>
      <c r="EG25" s="135"/>
      <c r="EH25" s="1080"/>
      <c r="EI25" s="723"/>
      <c r="EJ25" s="723"/>
      <c r="EK25" s="723"/>
      <c r="EL25" s="723"/>
      <c r="EM25" s="723"/>
      <c r="EN25" s="723"/>
      <c r="EO25" s="723"/>
      <c r="EP25" s="723"/>
      <c r="EQ25" s="723"/>
      <c r="ER25" s="723"/>
      <c r="ES25" s="723"/>
      <c r="ET25" s="723"/>
      <c r="EU25" s="723"/>
      <c r="EV25" s="723"/>
      <c r="EW25" s="723"/>
      <c r="EX25" s="60"/>
      <c r="EY25" s="723"/>
      <c r="EZ25" s="723"/>
      <c r="FA25" s="632"/>
      <c r="FB25" s="690"/>
      <c r="FC25" s="56"/>
      <c r="FD25" s="56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807"/>
      <c r="GI25" s="807"/>
      <c r="GJ25" s="807"/>
      <c r="GK25" s="807"/>
      <c r="GL25" s="807"/>
      <c r="GM25" s="169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807"/>
      <c r="IM25" s="918"/>
      <c r="IN25" s="60"/>
      <c r="IO25" s="60"/>
      <c r="IP25" s="60"/>
      <c r="IQ25" s="58"/>
      <c r="IR25" s="58"/>
      <c r="IS25" s="58"/>
      <c r="IT25" s="58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  <c r="JG25" s="58"/>
      <c r="JH25" s="59"/>
      <c r="JI25" s="61"/>
      <c r="JJ25" s="58"/>
      <c r="JK25" s="58"/>
      <c r="JL25" s="58"/>
      <c r="JM25" s="61"/>
      <c r="JN25" s="169"/>
      <c r="JO25" s="61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18"/>
      <c r="KE25" s="18"/>
      <c r="KF25" s="1070"/>
      <c r="KI25" s="221"/>
    </row>
    <row r="26" spans="1:295" s="705" customFormat="1" ht="15.75" customHeight="1" x14ac:dyDescent="0.2">
      <c r="A26" s="695"/>
      <c r="B26" s="1122" t="s">
        <v>834</v>
      </c>
      <c r="C26" s="1752">
        <f>(11156.26*90%)</f>
        <v>10040.634</v>
      </c>
      <c r="D26" s="1753">
        <f t="shared" ref="D26" si="4">C26/1.2</f>
        <v>8367.1949999999997</v>
      </c>
      <c r="E26" s="2267"/>
      <c r="F26" s="1123"/>
      <c r="G26" s="1124"/>
      <c r="H26" s="1125"/>
      <c r="I26" s="1124"/>
      <c r="J26" s="1124"/>
      <c r="K26" s="1124"/>
      <c r="L26" s="1126"/>
      <c r="M26" s="1126"/>
      <c r="N26" s="1127"/>
      <c r="O26" s="1126"/>
      <c r="P26" s="1126"/>
      <c r="Q26" s="1128"/>
      <c r="R26" s="1128"/>
      <c r="S26" s="1126"/>
      <c r="T26" s="1126"/>
      <c r="U26" s="1126"/>
      <c r="V26" s="1129"/>
      <c r="W26" s="2267"/>
      <c r="X26" s="1130"/>
      <c r="Y26" s="1130"/>
      <c r="Z26" s="1130"/>
      <c r="AA26" s="1130"/>
      <c r="AB26" s="1130"/>
      <c r="AC26" s="697"/>
      <c r="AD26" s="1131"/>
      <c r="AE26" s="1132"/>
      <c r="AF26" s="1133"/>
      <c r="AG26" s="1134"/>
      <c r="AH26" s="935"/>
      <c r="AI26" s="935"/>
      <c r="AJ26" s="935"/>
      <c r="AK26" s="935"/>
      <c r="AL26" s="935"/>
      <c r="AM26" s="1135"/>
      <c r="AN26" s="1136"/>
      <c r="AO26" s="1137"/>
      <c r="AP26" s="1138"/>
      <c r="AQ26" s="1139"/>
      <c r="AR26" s="1140"/>
      <c r="AS26" s="1141"/>
      <c r="AT26" s="2285"/>
      <c r="AU26" s="1147"/>
      <c r="AV26" s="1142"/>
      <c r="AW26" s="930"/>
      <c r="AX26" s="1143"/>
      <c r="AY26" s="1148">
        <f>69.12*0</f>
        <v>0</v>
      </c>
      <c r="AZ26" s="930"/>
      <c r="BA26" s="930"/>
      <c r="BB26" s="930"/>
      <c r="BC26" s="1143"/>
      <c r="BD26" s="930"/>
      <c r="BE26" s="1148"/>
      <c r="BF26" s="1148"/>
      <c r="BG26" s="930"/>
      <c r="BH26" s="1145"/>
      <c r="BI26" s="1290"/>
      <c r="BJ26" s="1128"/>
      <c r="BK26" s="1128"/>
      <c r="BL26" s="1144"/>
      <c r="BM26" s="696"/>
      <c r="BN26" s="1128"/>
      <c r="BO26" s="1128"/>
      <c r="BP26" s="1144"/>
      <c r="BQ26" s="1142"/>
      <c r="BR26" s="930"/>
      <c r="BS26" s="1129"/>
      <c r="BT26" s="1145"/>
      <c r="BU26" s="1146"/>
      <c r="BV26" s="1129"/>
      <c r="BW26" s="930"/>
      <c r="BX26" s="930"/>
      <c r="BY26" s="930"/>
      <c r="BZ26" s="1145"/>
      <c r="CA26" s="1147"/>
      <c r="CB26" s="1145"/>
      <c r="CC26" s="2267"/>
      <c r="CD26" s="1142"/>
      <c r="CE26" s="930"/>
      <c r="CF26" s="930"/>
      <c r="CG26" s="1148"/>
      <c r="CH26" s="930"/>
      <c r="CI26" s="930"/>
      <c r="CJ26" s="930"/>
      <c r="CK26" s="930"/>
      <c r="CL26" s="930"/>
      <c r="CM26" s="930"/>
      <c r="CN26" s="930"/>
      <c r="CO26" s="930"/>
      <c r="CP26" s="930"/>
      <c r="CQ26" s="930"/>
      <c r="CR26" s="930"/>
      <c r="CS26" s="930"/>
      <c r="CT26" s="930"/>
      <c r="CU26" s="930"/>
      <c r="CV26" s="930"/>
      <c r="CW26" s="930"/>
      <c r="CX26" s="930"/>
      <c r="CY26" s="930"/>
      <c r="CZ26" s="930"/>
      <c r="DA26" s="930"/>
      <c r="DB26" s="930"/>
      <c r="DC26" s="930"/>
      <c r="DD26" s="930"/>
      <c r="DE26" s="930"/>
      <c r="DF26" s="930"/>
      <c r="DG26" s="699"/>
      <c r="DH26" s="699"/>
      <c r="DI26" s="930"/>
      <c r="DJ26" s="699"/>
      <c r="DK26" s="929"/>
      <c r="DL26" s="699"/>
      <c r="DM26" s="699"/>
      <c r="DN26" s="699"/>
      <c r="DO26" s="699"/>
      <c r="DP26" s="699"/>
      <c r="DQ26" s="1149"/>
      <c r="DR26" s="1150"/>
      <c r="DS26" s="699"/>
      <c r="DT26" s="1143"/>
      <c r="DU26" s="1142"/>
      <c r="DV26" s="1145"/>
      <c r="DW26" s="1151"/>
      <c r="DX26" s="1152">
        <f>0.4*0</f>
        <v>0</v>
      </c>
      <c r="DY26" s="1152"/>
      <c r="DZ26" s="1152"/>
      <c r="EA26" s="1152"/>
      <c r="EB26" s="1152"/>
      <c r="EC26" s="1152"/>
      <c r="ED26" s="1152">
        <f>13*0</f>
        <v>0</v>
      </c>
      <c r="EE26" s="1153"/>
      <c r="EF26" s="1147"/>
      <c r="EG26" s="1145"/>
      <c r="EH26" s="1154"/>
      <c r="EI26" s="1152"/>
      <c r="EJ26" s="1152"/>
      <c r="EK26" s="1152"/>
      <c r="EL26" s="1152"/>
      <c r="EM26" s="1152"/>
      <c r="EN26" s="1152"/>
      <c r="EO26" s="1152"/>
      <c r="EP26" s="1152"/>
      <c r="EQ26" s="1152"/>
      <c r="ER26" s="1152"/>
      <c r="ES26" s="1152"/>
      <c r="ET26" s="1152"/>
      <c r="EU26" s="1152"/>
      <c r="EV26" s="1152">
        <f>18.07*0</f>
        <v>0</v>
      </c>
      <c r="EW26" s="1152"/>
      <c r="EX26" s="699"/>
      <c r="EY26" s="928">
        <v>8274</v>
      </c>
      <c r="EZ26" s="1152"/>
      <c r="FA26" s="929"/>
      <c r="FB26" s="928"/>
      <c r="FC26" s="930"/>
      <c r="FD26" s="930"/>
      <c r="FE26" s="699"/>
      <c r="FF26" s="699"/>
      <c r="FG26" s="699"/>
      <c r="FH26" s="699"/>
      <c r="FI26" s="699"/>
      <c r="FJ26" s="699"/>
      <c r="FK26" s="699"/>
      <c r="FL26" s="699"/>
      <c r="FM26" s="699"/>
      <c r="FN26" s="699"/>
      <c r="FO26" s="699"/>
      <c r="FP26" s="699"/>
      <c r="FQ26" s="699"/>
      <c r="FR26" s="699"/>
      <c r="FS26" s="699"/>
      <c r="FT26" s="699"/>
      <c r="FU26" s="699"/>
      <c r="FV26" s="699"/>
      <c r="FW26" s="699"/>
      <c r="FX26" s="699"/>
      <c r="FY26" s="699"/>
      <c r="FZ26" s="699"/>
      <c r="GA26" s="699"/>
      <c r="GB26" s="699"/>
      <c r="GC26" s="699"/>
      <c r="GD26" s="699"/>
      <c r="GE26" s="699"/>
      <c r="GF26" s="699"/>
      <c r="GG26" s="699"/>
      <c r="GH26" s="938"/>
      <c r="GI26" s="938"/>
      <c r="GJ26" s="938"/>
      <c r="GK26" s="938"/>
      <c r="GL26" s="938"/>
      <c r="GM26" s="702"/>
      <c r="GN26" s="699"/>
      <c r="GO26" s="699"/>
      <c r="GP26" s="699"/>
      <c r="GQ26" s="699"/>
      <c r="GR26" s="699"/>
      <c r="GS26" s="699"/>
      <c r="GT26" s="699"/>
      <c r="GU26" s="699"/>
      <c r="GV26" s="699"/>
      <c r="GW26" s="699"/>
      <c r="GX26" s="699"/>
      <c r="GY26" s="699"/>
      <c r="GZ26" s="699"/>
      <c r="HA26" s="699"/>
      <c r="HB26" s="699"/>
      <c r="HC26" s="699"/>
      <c r="HD26" s="699"/>
      <c r="HE26" s="699"/>
      <c r="HF26" s="699"/>
      <c r="HG26" s="699"/>
      <c r="HH26" s="699"/>
      <c r="HI26" s="699"/>
      <c r="HJ26" s="699"/>
      <c r="HK26" s="699"/>
      <c r="HL26" s="699"/>
      <c r="HM26" s="699"/>
      <c r="HN26" s="699"/>
      <c r="HO26" s="699"/>
      <c r="HP26" s="699"/>
      <c r="HQ26" s="699"/>
      <c r="HR26" s="699"/>
      <c r="HS26" s="699"/>
      <c r="HT26" s="699"/>
      <c r="HU26" s="699"/>
      <c r="HV26" s="699"/>
      <c r="HW26" s="699"/>
      <c r="HX26" s="699"/>
      <c r="HY26" s="699"/>
      <c r="HZ26" s="699"/>
      <c r="IA26" s="699"/>
      <c r="IB26" s="699"/>
      <c r="IC26" s="699"/>
      <c r="ID26" s="699"/>
      <c r="IE26" s="699"/>
      <c r="IF26" s="699"/>
      <c r="IG26" s="699"/>
      <c r="IH26" s="699"/>
      <c r="II26" s="699"/>
      <c r="IJ26" s="699"/>
      <c r="IK26" s="699"/>
      <c r="IL26" s="938"/>
      <c r="IM26" s="920"/>
      <c r="IN26" s="699"/>
      <c r="IO26" s="699"/>
      <c r="IP26" s="699"/>
      <c r="IQ26" s="698"/>
      <c r="IR26" s="698"/>
      <c r="IS26" s="698"/>
      <c r="IT26" s="698"/>
      <c r="IU26" s="698"/>
      <c r="IV26" s="698"/>
      <c r="IW26" s="698"/>
      <c r="IX26" s="698"/>
      <c r="IY26" s="698"/>
      <c r="IZ26" s="698"/>
      <c r="JA26" s="698"/>
      <c r="JB26" s="698"/>
      <c r="JC26" s="698"/>
      <c r="JD26" s="698"/>
      <c r="JE26" s="698"/>
      <c r="JF26" s="698"/>
      <c r="JG26" s="698"/>
      <c r="JH26" s="700"/>
      <c r="JI26" s="701"/>
      <c r="JJ26" s="698"/>
      <c r="JK26" s="698"/>
      <c r="JL26" s="698"/>
      <c r="JM26" s="701"/>
      <c r="JN26" s="702"/>
      <c r="JO26" s="701"/>
      <c r="JP26" s="703"/>
      <c r="JQ26" s="703"/>
      <c r="JR26" s="703"/>
      <c r="JS26" s="703"/>
      <c r="JT26" s="703"/>
      <c r="JU26" s="703"/>
      <c r="JV26" s="703"/>
      <c r="JW26" s="703"/>
      <c r="JX26" s="703"/>
      <c r="JY26" s="703"/>
      <c r="JZ26" s="703"/>
      <c r="KA26" s="703"/>
      <c r="KB26" s="703"/>
      <c r="KC26" s="703"/>
      <c r="KD26" s="704"/>
      <c r="KE26" s="704"/>
      <c r="KF26" s="1072"/>
      <c r="KI26" s="706"/>
    </row>
    <row r="27" spans="1:295" s="7" customFormat="1" ht="15.75" customHeight="1" x14ac:dyDescent="0.25">
      <c r="A27" s="357"/>
      <c r="B27" s="412"/>
      <c r="C27" s="63"/>
      <c r="D27" s="361"/>
      <c r="E27" s="2267"/>
      <c r="F27" s="346"/>
      <c r="G27" s="147"/>
      <c r="H27" s="148"/>
      <c r="I27" s="147"/>
      <c r="J27" s="147"/>
      <c r="K27" s="147"/>
      <c r="L27" s="53"/>
      <c r="M27" s="53"/>
      <c r="N27" s="149"/>
      <c r="O27" s="53"/>
      <c r="P27" s="53"/>
      <c r="Q27" s="55"/>
      <c r="R27" s="55"/>
      <c r="S27" s="53"/>
      <c r="T27" s="53"/>
      <c r="U27" s="53"/>
      <c r="V27" s="57"/>
      <c r="W27" s="2267"/>
      <c r="X27" s="245"/>
      <c r="Y27" s="245"/>
      <c r="Z27" s="245"/>
      <c r="AA27" s="245"/>
      <c r="AB27" s="245"/>
      <c r="AC27" s="457"/>
      <c r="AD27" s="342"/>
      <c r="AE27" s="427"/>
      <c r="AF27" s="642"/>
      <c r="AG27" s="643"/>
      <c r="AH27" s="644"/>
      <c r="AI27" s="644"/>
      <c r="AJ27" s="644"/>
      <c r="AK27" s="644"/>
      <c r="AL27" s="644"/>
      <c r="AM27" s="645"/>
      <c r="AN27" s="352"/>
      <c r="AO27" s="215"/>
      <c r="AP27" s="348"/>
      <c r="AQ27" s="441"/>
      <c r="AR27" s="126"/>
      <c r="AS27" s="228"/>
      <c r="AT27" s="2285"/>
      <c r="AU27" s="152"/>
      <c r="AV27" s="134"/>
      <c r="AW27" s="56"/>
      <c r="AX27" s="140"/>
      <c r="AY27" s="56"/>
      <c r="AZ27" s="56"/>
      <c r="BA27" s="56"/>
      <c r="BB27" s="56"/>
      <c r="BC27" s="140"/>
      <c r="BD27" s="56"/>
      <c r="BE27" s="224"/>
      <c r="BF27" s="224"/>
      <c r="BG27" s="56"/>
      <c r="BH27" s="135"/>
      <c r="BI27" s="684"/>
      <c r="BJ27" s="55"/>
      <c r="BK27" s="55"/>
      <c r="BL27" s="118"/>
      <c r="BM27" s="144"/>
      <c r="BN27" s="55"/>
      <c r="BO27" s="55"/>
      <c r="BP27" s="118"/>
      <c r="BQ27" s="134"/>
      <c r="BR27" s="56"/>
      <c r="BS27" s="57"/>
      <c r="BT27" s="135"/>
      <c r="BU27" s="708"/>
      <c r="BV27" s="57"/>
      <c r="BW27" s="56"/>
      <c r="BX27" s="56"/>
      <c r="BY27" s="56"/>
      <c r="BZ27" s="135"/>
      <c r="CA27" s="152"/>
      <c r="CB27" s="135"/>
      <c r="CC27" s="2267"/>
      <c r="CD27" s="134"/>
      <c r="CE27" s="56"/>
      <c r="CF27" s="56"/>
      <c r="CG27" s="224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60"/>
      <c r="DH27" s="60"/>
      <c r="DI27" s="56"/>
      <c r="DJ27" s="60"/>
      <c r="DK27" s="474"/>
      <c r="DL27" s="60"/>
      <c r="DM27" s="60"/>
      <c r="DN27" s="60"/>
      <c r="DO27" s="60"/>
      <c r="DP27" s="60"/>
      <c r="DQ27" s="766"/>
      <c r="DR27" s="924"/>
      <c r="DS27" s="60"/>
      <c r="DT27" s="140"/>
      <c r="DU27" s="134"/>
      <c r="DV27" s="135"/>
      <c r="DW27" s="932"/>
      <c r="DX27" s="690"/>
      <c r="DY27" s="690"/>
      <c r="DZ27" s="690"/>
      <c r="EA27" s="690"/>
      <c r="EB27" s="690"/>
      <c r="EC27" s="690"/>
      <c r="ED27" s="60"/>
      <c r="EE27" s="766"/>
      <c r="EF27" s="152"/>
      <c r="EG27" s="135"/>
      <c r="EH27" s="918"/>
      <c r="EI27" s="690"/>
      <c r="EJ27" s="690"/>
      <c r="EK27" s="690"/>
      <c r="EL27" s="690"/>
      <c r="EM27" s="690"/>
      <c r="EN27" s="690"/>
      <c r="EO27" s="690"/>
      <c r="EP27" s="690"/>
      <c r="EQ27" s="690"/>
      <c r="ER27" s="690"/>
      <c r="ES27" s="690"/>
      <c r="ET27" s="690"/>
      <c r="EU27" s="690"/>
      <c r="EV27" s="690"/>
      <c r="EW27" s="690"/>
      <c r="EX27" s="60"/>
      <c r="EY27" s="690"/>
      <c r="EZ27" s="690"/>
      <c r="FA27" s="474"/>
      <c r="FB27" s="690"/>
      <c r="FC27" s="56"/>
      <c r="FD27" s="56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807"/>
      <c r="GI27" s="807"/>
      <c r="GJ27" s="807"/>
      <c r="GK27" s="807"/>
      <c r="GL27" s="807"/>
      <c r="GM27" s="169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807"/>
      <c r="IM27" s="918"/>
      <c r="IN27" s="60"/>
      <c r="IO27" s="60"/>
      <c r="IP27" s="60"/>
      <c r="IQ27" s="58"/>
      <c r="IR27" s="58"/>
      <c r="IS27" s="58"/>
      <c r="IT27" s="58"/>
      <c r="IU27" s="58"/>
      <c r="IV27" s="58"/>
      <c r="IW27" s="58"/>
      <c r="IX27" s="58"/>
      <c r="IY27" s="58"/>
      <c r="IZ27" s="58"/>
      <c r="JA27" s="58"/>
      <c r="JB27" s="58"/>
      <c r="JC27" s="58"/>
      <c r="JD27" s="58"/>
      <c r="JE27" s="58"/>
      <c r="JF27" s="58"/>
      <c r="JG27" s="58"/>
      <c r="JH27" s="59"/>
      <c r="JI27" s="61"/>
      <c r="JJ27" s="58"/>
      <c r="JK27" s="58"/>
      <c r="JL27" s="58"/>
      <c r="JM27" s="61"/>
      <c r="JN27" s="169"/>
      <c r="JO27" s="61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18"/>
      <c r="KE27" s="18"/>
      <c r="KF27" s="1070"/>
      <c r="KI27" s="221"/>
    </row>
    <row r="28" spans="1:295" s="7" customFormat="1" ht="16.5" customHeight="1" x14ac:dyDescent="0.25">
      <c r="A28" s="357"/>
      <c r="B28" s="410" t="s">
        <v>233</v>
      </c>
      <c r="C28" s="63"/>
      <c r="D28" s="361"/>
      <c r="E28" s="2267"/>
      <c r="F28" s="346"/>
      <c r="G28" s="147"/>
      <c r="H28" s="148"/>
      <c r="I28" s="147"/>
      <c r="J28" s="147"/>
      <c r="K28" s="147"/>
      <c r="L28" s="53"/>
      <c r="M28" s="53"/>
      <c r="N28" s="149"/>
      <c r="O28" s="53"/>
      <c r="P28" s="53"/>
      <c r="Q28" s="55"/>
      <c r="R28" s="55"/>
      <c r="S28" s="53"/>
      <c r="T28" s="53"/>
      <c r="U28" s="53"/>
      <c r="V28" s="57"/>
      <c r="W28" s="2267"/>
      <c r="X28" s="245"/>
      <c r="Y28" s="245"/>
      <c r="Z28" s="245"/>
      <c r="AA28" s="245"/>
      <c r="AB28" s="245"/>
      <c r="AC28" s="457"/>
      <c r="AD28" s="342"/>
      <c r="AE28" s="428"/>
      <c r="AF28" s="650"/>
      <c r="AG28" s="651"/>
      <c r="AH28" s="656"/>
      <c r="AI28" s="656"/>
      <c r="AJ28" s="656"/>
      <c r="AK28" s="656"/>
      <c r="AL28" s="656"/>
      <c r="AM28" s="657"/>
      <c r="AN28" s="352"/>
      <c r="AO28" s="215"/>
      <c r="AP28" s="348"/>
      <c r="AQ28" s="441"/>
      <c r="AR28" s="127"/>
      <c r="AS28" s="228"/>
      <c r="AT28" s="2285"/>
      <c r="AU28" s="152"/>
      <c r="AV28" s="134"/>
      <c r="AW28" s="56"/>
      <c r="AX28" s="140"/>
      <c r="AY28" s="56"/>
      <c r="AZ28" s="56"/>
      <c r="BA28" s="56"/>
      <c r="BB28" s="56"/>
      <c r="BC28" s="140"/>
      <c r="BD28" s="56"/>
      <c r="BE28" s="224"/>
      <c r="BF28" s="224"/>
      <c r="BG28" s="56"/>
      <c r="BH28" s="135"/>
      <c r="BI28" s="684"/>
      <c r="BJ28" s="55"/>
      <c r="BK28" s="55"/>
      <c r="BL28" s="118"/>
      <c r="BM28" s="144"/>
      <c r="BN28" s="55"/>
      <c r="BO28" s="55"/>
      <c r="BP28" s="118"/>
      <c r="BQ28" s="134"/>
      <c r="BR28" s="56"/>
      <c r="BS28" s="57"/>
      <c r="BT28" s="135"/>
      <c r="BU28" s="708"/>
      <c r="BV28" s="57"/>
      <c r="BW28" s="56"/>
      <c r="BX28" s="56"/>
      <c r="BY28" s="56"/>
      <c r="BZ28" s="135"/>
      <c r="CA28" s="152"/>
      <c r="CB28" s="135"/>
      <c r="CC28" s="2267"/>
      <c r="CD28" s="134"/>
      <c r="CE28" s="56"/>
      <c r="CF28" s="56"/>
      <c r="CG28" s="224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60"/>
      <c r="DH28" s="60"/>
      <c r="DI28" s="56"/>
      <c r="DJ28" s="60"/>
      <c r="DK28" s="474"/>
      <c r="DL28" s="60"/>
      <c r="DM28" s="60"/>
      <c r="DN28" s="60"/>
      <c r="DO28" s="60"/>
      <c r="DP28" s="60"/>
      <c r="DQ28" s="766"/>
      <c r="DR28" s="924"/>
      <c r="DS28" s="60"/>
      <c r="DT28" s="140"/>
      <c r="DU28" s="134"/>
      <c r="DV28" s="135"/>
      <c r="DW28" s="932"/>
      <c r="DX28" s="690"/>
      <c r="DY28" s="690"/>
      <c r="DZ28" s="690"/>
      <c r="EA28" s="690"/>
      <c r="EB28" s="690"/>
      <c r="EC28" s="690"/>
      <c r="ED28" s="60"/>
      <c r="EE28" s="766"/>
      <c r="EF28" s="152"/>
      <c r="EG28" s="135"/>
      <c r="EH28" s="918"/>
      <c r="EI28" s="690"/>
      <c r="EJ28" s="690"/>
      <c r="EK28" s="690"/>
      <c r="EL28" s="690"/>
      <c r="EM28" s="690"/>
      <c r="EN28" s="690"/>
      <c r="EO28" s="690"/>
      <c r="EP28" s="690"/>
      <c r="EQ28" s="690"/>
      <c r="ER28" s="690"/>
      <c r="ES28" s="690"/>
      <c r="ET28" s="690"/>
      <c r="EU28" s="690"/>
      <c r="EV28" s="690"/>
      <c r="EW28" s="690"/>
      <c r="EX28" s="60"/>
      <c r="EY28" s="690"/>
      <c r="EZ28" s="690"/>
      <c r="FA28" s="474"/>
      <c r="FB28" s="690"/>
      <c r="FC28" s="56"/>
      <c r="FD28" s="56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807"/>
      <c r="GI28" s="807"/>
      <c r="GJ28" s="807"/>
      <c r="GK28" s="807"/>
      <c r="GL28" s="807"/>
      <c r="GM28" s="169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807"/>
      <c r="IM28" s="918"/>
      <c r="IN28" s="60"/>
      <c r="IO28" s="60"/>
      <c r="IP28" s="60"/>
      <c r="IQ28" s="58"/>
      <c r="IR28" s="58"/>
      <c r="IS28" s="58"/>
      <c r="IT28" s="58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  <c r="JG28" s="58"/>
      <c r="JH28" s="59"/>
      <c r="JI28" s="61"/>
      <c r="JJ28" s="58"/>
      <c r="JK28" s="58"/>
      <c r="JL28" s="58"/>
      <c r="JM28" s="61"/>
      <c r="JN28" s="169"/>
      <c r="JO28" s="61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18"/>
      <c r="KE28" s="18"/>
      <c r="KF28" s="1070"/>
      <c r="KI28" s="221"/>
    </row>
    <row r="29" spans="1:295" s="7" customFormat="1" ht="22.5" customHeight="1" x14ac:dyDescent="0.25">
      <c r="A29" s="357"/>
      <c r="B29" s="1180" t="s">
        <v>508</v>
      </c>
      <c r="C29" s="178">
        <f>'[3]ОСНОВНЫЕ ОБЪЁМЫ'!$MT$146</f>
        <v>101091.7179143359</v>
      </c>
      <c r="D29" s="360">
        <f t="shared" ref="D29" si="5">C29/1.2</f>
        <v>84243.098261946579</v>
      </c>
      <c r="E29" s="2267"/>
      <c r="F29" s="346"/>
      <c r="G29" s="147"/>
      <c r="H29" s="148"/>
      <c r="I29" s="147"/>
      <c r="J29" s="147"/>
      <c r="K29" s="147"/>
      <c r="L29" s="53"/>
      <c r="M29" s="53"/>
      <c r="N29" s="149"/>
      <c r="O29" s="53"/>
      <c r="P29" s="53"/>
      <c r="Q29" s="55"/>
      <c r="R29" s="55"/>
      <c r="S29" s="53"/>
      <c r="T29" s="53"/>
      <c r="U29" s="53"/>
      <c r="V29" s="57"/>
      <c r="W29" s="2267"/>
      <c r="X29" s="245"/>
      <c r="Y29" s="629"/>
      <c r="Z29" s="629"/>
      <c r="AA29" s="629"/>
      <c r="AB29" s="629"/>
      <c r="AC29" s="457"/>
      <c r="AD29" s="342"/>
      <c r="AE29" s="427">
        <f>4.183/100*AB29+5.9/100*Y29+7/100*AD29</f>
        <v>0</v>
      </c>
      <c r="AF29" s="642"/>
      <c r="AG29" s="643"/>
      <c r="AH29" s="644"/>
      <c r="AI29" s="644"/>
      <c r="AJ29" s="644">
        <f>24/100/$AJ$95*AB29+37.6/100/$AJ$95*Y29</f>
        <v>0</v>
      </c>
      <c r="AK29" s="644">
        <f>28.7/100/$AK$95*AB29</f>
        <v>0</v>
      </c>
      <c r="AL29" s="644"/>
      <c r="AM29" s="645">
        <f>43.1/100/$AM$95*AB29+51.7/100/$AM$95*Y29+93/100/$AM$95*AD29</f>
        <v>0</v>
      </c>
      <c r="AN29" s="353">
        <f>4.7/100*Y29</f>
        <v>0</v>
      </c>
      <c r="AO29" s="215"/>
      <c r="AP29" s="349"/>
      <c r="AQ29" s="441">
        <f>0.018/100*Y29</f>
        <v>0</v>
      </c>
      <c r="AR29" s="126"/>
      <c r="AS29" s="228">
        <f>Y29/(100.4)*0.4*1.03+AB29/(100.4+25.2*2)*0.4*1.03</f>
        <v>0</v>
      </c>
      <c r="AT29" s="2285"/>
      <c r="AU29" s="152"/>
      <c r="AV29" s="134"/>
      <c r="AW29" s="56"/>
      <c r="AX29" s="140"/>
      <c r="AY29" s="56"/>
      <c r="AZ29" s="56"/>
      <c r="BA29" s="56"/>
      <c r="BB29" s="56"/>
      <c r="BC29" s="140"/>
      <c r="BD29" s="56"/>
      <c r="BE29" s="224"/>
      <c r="BF29" s="224"/>
      <c r="BG29" s="56"/>
      <c r="BH29" s="135"/>
      <c r="BI29" s="684"/>
      <c r="BJ29" s="55">
        <f>'[3]ОСНОВНЫЕ ОБЪЁМЫ'!$MH$96+'[3]ОСНОВНЫЕ ОБЪЁМЫ'!$MH$100</f>
        <v>139.33539999999988</v>
      </c>
      <c r="BK29" s="55">
        <f>'[3]ОСНОВНЫЕ ОБЪЁМЫ'!$ML$96+'[3]ОСНОВНЫЕ ОБЪЁМЫ'!$ML$100</f>
        <v>204.51279999999983</v>
      </c>
      <c r="BL29" s="118"/>
      <c r="BM29" s="144"/>
      <c r="BN29" s="55"/>
      <c r="BO29" s="55"/>
      <c r="BP29" s="118"/>
      <c r="BQ29" s="134"/>
      <c r="BR29" s="56">
        <f>'[3]ОСНОВНЫЕ ОБЪЁМЫ'!$MH$112</f>
        <v>128.35655999999983</v>
      </c>
      <c r="BS29" s="57"/>
      <c r="BT29" s="135">
        <f>'[3]ОСНОВНЫЕ ОБЪЁМЫ'!$MK$112</f>
        <v>475.67404000000096</v>
      </c>
      <c r="BU29" s="708"/>
      <c r="BV29" s="57"/>
      <c r="BW29" s="56"/>
      <c r="BX29" s="56"/>
      <c r="BY29" s="56"/>
      <c r="BZ29" s="135"/>
      <c r="CA29" s="152"/>
      <c r="CB29" s="135"/>
      <c r="CC29" s="2267"/>
      <c r="CD29" s="134"/>
      <c r="CE29" s="56"/>
      <c r="CF29" s="56"/>
      <c r="CG29" s="224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60"/>
      <c r="DH29" s="60"/>
      <c r="DI29" s="56"/>
      <c r="DJ29" s="60"/>
      <c r="DK29" s="474"/>
      <c r="DL29" s="60"/>
      <c r="DM29" s="60"/>
      <c r="DN29" s="60"/>
      <c r="DO29" s="60"/>
      <c r="DP29" s="1182"/>
      <c r="DQ29" s="766"/>
      <c r="DR29" s="924"/>
      <c r="DS29" s="60"/>
      <c r="DT29" s="140"/>
      <c r="DU29" s="134">
        <f>'[3]ОСНОВНЫЕ ОБЪЁМЫ'!$KZ$109</f>
        <v>0</v>
      </c>
      <c r="DV29" s="135"/>
      <c r="DW29" s="932"/>
      <c r="DX29" s="690"/>
      <c r="DY29" s="690"/>
      <c r="DZ29" s="690"/>
      <c r="EA29" s="1183"/>
      <c r="EB29" s="1183"/>
      <c r="EC29" s="690"/>
      <c r="ED29" s="60"/>
      <c r="EE29" s="766"/>
      <c r="EF29" s="152"/>
      <c r="EG29" s="135"/>
      <c r="EH29" s="918"/>
      <c r="EI29" s="690"/>
      <c r="EJ29" s="690"/>
      <c r="EK29" s="690"/>
      <c r="EL29" s="690"/>
      <c r="EM29" s="690"/>
      <c r="EN29" s="690"/>
      <c r="EO29" s="690"/>
      <c r="EP29" s="690"/>
      <c r="EQ29" s="690"/>
      <c r="ER29" s="690"/>
      <c r="ES29" s="690"/>
      <c r="ET29" s="690"/>
      <c r="EU29" s="690"/>
      <c r="EV29" s="690"/>
      <c r="EW29" s="690"/>
      <c r="EX29" s="60"/>
      <c r="EY29" s="690"/>
      <c r="EZ29" s="690"/>
      <c r="FA29" s="474"/>
      <c r="FB29" s="690"/>
      <c r="FC29" s="56"/>
      <c r="FD29" s="56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807"/>
      <c r="GI29" s="807"/>
      <c r="GJ29" s="807"/>
      <c r="GK29" s="807"/>
      <c r="GL29" s="807"/>
      <c r="GM29" s="169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807"/>
      <c r="IM29" s="918"/>
      <c r="IN29" s="60"/>
      <c r="IO29" s="60"/>
      <c r="IP29" s="60"/>
      <c r="IQ29" s="58"/>
      <c r="IR29" s="58"/>
      <c r="IS29" s="60"/>
      <c r="IT29" s="58"/>
      <c r="IU29" s="58"/>
      <c r="IV29" s="58"/>
      <c r="IW29" s="58"/>
      <c r="IX29" s="58"/>
      <c r="IY29" s="58"/>
      <c r="IZ29" s="58"/>
      <c r="JA29" s="58"/>
      <c r="JB29" s="58"/>
      <c r="JC29" s="58"/>
      <c r="JD29" s="58"/>
      <c r="JE29" s="58"/>
      <c r="JF29" s="58"/>
      <c r="JG29" s="58"/>
      <c r="JH29" s="59"/>
      <c r="JI29" s="61"/>
      <c r="JJ29" s="58"/>
      <c r="JK29" s="58"/>
      <c r="JL29" s="58"/>
      <c r="JM29" s="61"/>
      <c r="JN29" s="169"/>
      <c r="JO29" s="61"/>
      <c r="JP29" s="62"/>
      <c r="JQ29" s="62"/>
      <c r="JR29" s="62"/>
      <c r="JS29" s="62"/>
      <c r="JT29" s="62"/>
      <c r="JU29" s="62"/>
      <c r="JV29" s="62"/>
      <c r="JW29" s="62"/>
      <c r="JX29" s="62"/>
      <c r="JY29" s="62"/>
      <c r="JZ29" s="62"/>
      <c r="KA29" s="62"/>
      <c r="KB29" s="62"/>
      <c r="KC29" s="62"/>
      <c r="KD29" s="18"/>
      <c r="KE29" s="18"/>
      <c r="KF29" s="1070"/>
      <c r="KI29" s="221"/>
    </row>
    <row r="30" spans="1:295" s="1946" customFormat="1" x14ac:dyDescent="0.25">
      <c r="A30" s="1894"/>
      <c r="B30" s="1895" t="s">
        <v>861</v>
      </c>
      <c r="C30" s="1896">
        <f>'[3]ОСНОВНЫЕ ОБЪЁМЫ'!$MT$97</f>
        <v>48360.12233070103</v>
      </c>
      <c r="D30" s="1897">
        <f>C30/1.2</f>
        <v>40300.101942250862</v>
      </c>
      <c r="E30" s="2267"/>
      <c r="F30" s="1898"/>
      <c r="G30" s="1899"/>
      <c r="H30" s="1900"/>
      <c r="I30" s="1899"/>
      <c r="J30" s="1899"/>
      <c r="K30" s="1899"/>
      <c r="L30" s="1901"/>
      <c r="M30" s="1901"/>
      <c r="N30" s="1902"/>
      <c r="O30" s="1901"/>
      <c r="P30" s="1901"/>
      <c r="Q30" s="1903"/>
      <c r="R30" s="1903"/>
      <c r="S30" s="1901"/>
      <c r="T30" s="1901"/>
      <c r="U30" s="1901"/>
      <c r="V30" s="1904"/>
      <c r="W30" s="2267"/>
      <c r="X30" s="1905"/>
      <c r="Y30" s="1905"/>
      <c r="Z30" s="1905"/>
      <c r="AA30" s="1905"/>
      <c r="AB30" s="1905"/>
      <c r="AC30" s="1906"/>
      <c r="AD30" s="1907">
        <f>'[3]ОСНОВНЫЕ ОБЪЁМЫ'!$MS$143</f>
        <v>158.5386</v>
      </c>
      <c r="AE30" s="1908">
        <f>4.183/100*AB30+5.9/100*Y30+7/100*AD30</f>
        <v>11.097702000000002</v>
      </c>
      <c r="AF30" s="1909"/>
      <c r="AG30" s="1910"/>
      <c r="AH30" s="1911"/>
      <c r="AI30" s="1911"/>
      <c r="AJ30" s="1911">
        <f>24/100/$AJ$95*AB30+37.6/100/$AJ$95*Y30</f>
        <v>0</v>
      </c>
      <c r="AK30" s="1911">
        <f>28.7/100/$AK$95*AB30</f>
        <v>0</v>
      </c>
      <c r="AL30" s="1911"/>
      <c r="AM30" s="1912">
        <f>43.1/100/$AM$95*AB30+51.7/100/$AM$95*Y30+93/100/$AM$95*AD30</f>
        <v>96.366600000000005</v>
      </c>
      <c r="AN30" s="1913">
        <f>4.7/100*Y30</f>
        <v>0</v>
      </c>
      <c r="AO30" s="1914"/>
      <c r="AP30" s="1915"/>
      <c r="AQ30" s="1916">
        <f>0.018/100*Y30</f>
        <v>0</v>
      </c>
      <c r="AR30" s="1917"/>
      <c r="AS30" s="1918">
        <f>Y30/(100.4)*0.4*1.03+AB30/(100.4+25.2*2)*0.4*1.03</f>
        <v>0</v>
      </c>
      <c r="AT30" s="2285"/>
      <c r="AU30" s="1919"/>
      <c r="AV30" s="1920"/>
      <c r="AW30" s="1921"/>
      <c r="AX30" s="1922"/>
      <c r="AY30" s="1921"/>
      <c r="AZ30" s="1921"/>
      <c r="BA30" s="1921"/>
      <c r="BB30" s="1921"/>
      <c r="BC30" s="1922"/>
      <c r="BD30" s="1921"/>
      <c r="BE30" s="1923"/>
      <c r="BF30" s="1923"/>
      <c r="BG30" s="1921"/>
      <c r="BH30" s="1924"/>
      <c r="BI30" s="1925"/>
      <c r="BJ30" s="1903"/>
      <c r="BK30" s="1903"/>
      <c r="BL30" s="1926"/>
      <c r="BM30" s="1927"/>
      <c r="BN30" s="1903"/>
      <c r="BO30" s="1903"/>
      <c r="BP30" s="1926"/>
      <c r="BQ30" s="1920"/>
      <c r="BR30" s="1921"/>
      <c r="BS30" s="1904"/>
      <c r="BT30" s="1924"/>
      <c r="BU30" s="1928"/>
      <c r="BV30" s="1904"/>
      <c r="BW30" s="1921"/>
      <c r="BX30" s="1921"/>
      <c r="BY30" s="1921"/>
      <c r="BZ30" s="1924"/>
      <c r="CA30" s="1919"/>
      <c r="CB30" s="1924"/>
      <c r="CC30" s="2267"/>
      <c r="CD30" s="1920"/>
      <c r="CE30" s="1921"/>
      <c r="CF30" s="1921"/>
      <c r="CG30" s="1923"/>
      <c r="CH30" s="1921"/>
      <c r="CI30" s="1921"/>
      <c r="CJ30" s="1921"/>
      <c r="CK30" s="1921"/>
      <c r="CL30" s="1921"/>
      <c r="CM30" s="1921"/>
      <c r="CN30" s="1921"/>
      <c r="CO30" s="1921"/>
      <c r="CP30" s="1921"/>
      <c r="CQ30" s="1921"/>
      <c r="CR30" s="1921"/>
      <c r="CS30" s="1921"/>
      <c r="CT30" s="1921"/>
      <c r="CU30" s="1921"/>
      <c r="CV30" s="1921"/>
      <c r="CW30" s="1921"/>
      <c r="CX30" s="1921"/>
      <c r="CY30" s="1921"/>
      <c r="CZ30" s="1921"/>
      <c r="DA30" s="1921"/>
      <c r="DB30" s="1921"/>
      <c r="DC30" s="1921"/>
      <c r="DD30" s="1921"/>
      <c r="DE30" s="1921"/>
      <c r="DF30" s="1921"/>
      <c r="DG30" s="1929"/>
      <c r="DH30" s="1929"/>
      <c r="DI30" s="1921"/>
      <c r="DJ30" s="1929"/>
      <c r="DK30" s="1930"/>
      <c r="DL30" s="1929"/>
      <c r="DM30" s="1929"/>
      <c r="DN30" s="1929"/>
      <c r="DO30" s="1929"/>
      <c r="DP30" s="1931"/>
      <c r="DQ30" s="1932"/>
      <c r="DR30" s="1933"/>
      <c r="DS30" s="1929"/>
      <c r="DT30" s="1922"/>
      <c r="DU30" s="1920"/>
      <c r="DV30" s="1924"/>
      <c r="DW30" s="1934"/>
      <c r="DX30" s="1935"/>
      <c r="DY30" s="1935"/>
      <c r="DZ30" s="1935"/>
      <c r="EA30" s="1936"/>
      <c r="EB30" s="1936"/>
      <c r="EC30" s="1935"/>
      <c r="ED30" s="1929"/>
      <c r="EE30" s="1932"/>
      <c r="EF30" s="1919"/>
      <c r="EG30" s="1924"/>
      <c r="EH30" s="1937"/>
      <c r="EI30" s="1935"/>
      <c r="EJ30" s="1935"/>
      <c r="EK30" s="1935"/>
      <c r="EL30" s="1935"/>
      <c r="EM30" s="1935"/>
      <c r="EN30" s="1935"/>
      <c r="EO30" s="1935"/>
      <c r="EP30" s="1935"/>
      <c r="EQ30" s="1935"/>
      <c r="ER30" s="1935"/>
      <c r="ES30" s="1935"/>
      <c r="ET30" s="1935"/>
      <c r="EU30" s="1935"/>
      <c r="EV30" s="1935"/>
      <c r="EW30" s="1935"/>
      <c r="EX30" s="1929"/>
      <c r="EY30" s="1935"/>
      <c r="EZ30" s="1935"/>
      <c r="FA30" s="1930"/>
      <c r="FB30" s="1935"/>
      <c r="FC30" s="1921"/>
      <c r="FD30" s="1921"/>
      <c r="FE30" s="1929"/>
      <c r="FF30" s="1929"/>
      <c r="FG30" s="1929"/>
      <c r="FH30" s="1929"/>
      <c r="FI30" s="1929"/>
      <c r="FJ30" s="1929"/>
      <c r="FK30" s="1929"/>
      <c r="FL30" s="1929"/>
      <c r="FM30" s="1929"/>
      <c r="FN30" s="1929"/>
      <c r="FO30" s="1929"/>
      <c r="FP30" s="1929"/>
      <c r="FQ30" s="1929"/>
      <c r="FR30" s="1929"/>
      <c r="FS30" s="1929"/>
      <c r="FT30" s="1929"/>
      <c r="FU30" s="1929"/>
      <c r="FV30" s="1929"/>
      <c r="FW30" s="1929"/>
      <c r="FX30" s="1929"/>
      <c r="FY30" s="1929"/>
      <c r="FZ30" s="1929"/>
      <c r="GA30" s="1929"/>
      <c r="GB30" s="1929"/>
      <c r="GC30" s="1929"/>
      <c r="GD30" s="1929"/>
      <c r="GE30" s="1929"/>
      <c r="GF30" s="1929"/>
      <c r="GG30" s="1929"/>
      <c r="GH30" s="1938"/>
      <c r="GI30" s="1938"/>
      <c r="GJ30" s="1938"/>
      <c r="GK30" s="1938"/>
      <c r="GL30" s="1938"/>
      <c r="GM30" s="1939"/>
      <c r="GN30" s="1929"/>
      <c r="GO30" s="1929"/>
      <c r="GP30" s="1929"/>
      <c r="GQ30" s="1929"/>
      <c r="GR30" s="1929"/>
      <c r="GS30" s="1929"/>
      <c r="GT30" s="1929"/>
      <c r="GU30" s="1929"/>
      <c r="GV30" s="1929"/>
      <c r="GW30" s="1929"/>
      <c r="GX30" s="1929"/>
      <c r="GY30" s="1929"/>
      <c r="GZ30" s="1929"/>
      <c r="HA30" s="1929"/>
      <c r="HB30" s="1929"/>
      <c r="HC30" s="1929"/>
      <c r="HD30" s="1929"/>
      <c r="HE30" s="1929"/>
      <c r="HF30" s="1929"/>
      <c r="HG30" s="1929"/>
      <c r="HH30" s="1929"/>
      <c r="HI30" s="1929"/>
      <c r="HJ30" s="1929"/>
      <c r="HK30" s="1929"/>
      <c r="HL30" s="1929"/>
      <c r="HM30" s="1929"/>
      <c r="HN30" s="1929"/>
      <c r="HO30" s="1929"/>
      <c r="HP30" s="1929"/>
      <c r="HQ30" s="1929"/>
      <c r="HR30" s="1929"/>
      <c r="HS30" s="1929"/>
      <c r="HT30" s="1929"/>
      <c r="HU30" s="1929"/>
      <c r="HV30" s="1929"/>
      <c r="HW30" s="1929"/>
      <c r="HX30" s="1929"/>
      <c r="HY30" s="1929"/>
      <c r="HZ30" s="1929"/>
      <c r="IA30" s="1929"/>
      <c r="IB30" s="1929"/>
      <c r="IC30" s="1929"/>
      <c r="ID30" s="1929"/>
      <c r="IE30" s="1929"/>
      <c r="IF30" s="1929"/>
      <c r="IG30" s="1929"/>
      <c r="IH30" s="1929"/>
      <c r="II30" s="1929"/>
      <c r="IJ30" s="1929"/>
      <c r="IK30" s="1929"/>
      <c r="IL30" s="1938"/>
      <c r="IM30" s="1937"/>
      <c r="IN30" s="1929"/>
      <c r="IO30" s="1929"/>
      <c r="IP30" s="1929"/>
      <c r="IQ30" s="1940"/>
      <c r="IR30" s="1940"/>
      <c r="IS30" s="1929"/>
      <c r="IT30" s="1940"/>
      <c r="IU30" s="1940"/>
      <c r="IV30" s="1940"/>
      <c r="IW30" s="1940"/>
      <c r="IX30" s="1940"/>
      <c r="IY30" s="1940"/>
      <c r="IZ30" s="1940"/>
      <c r="JA30" s="1940"/>
      <c r="JB30" s="1940"/>
      <c r="JC30" s="1940"/>
      <c r="JD30" s="1940"/>
      <c r="JE30" s="1940"/>
      <c r="JF30" s="1940"/>
      <c r="JG30" s="1940"/>
      <c r="JH30" s="1941"/>
      <c r="JI30" s="1942"/>
      <c r="JJ30" s="1940"/>
      <c r="JK30" s="1940"/>
      <c r="JL30" s="1940"/>
      <c r="JM30" s="1942"/>
      <c r="JN30" s="1939"/>
      <c r="JO30" s="1942"/>
      <c r="JP30" s="1943"/>
      <c r="JQ30" s="1943"/>
      <c r="JR30" s="1943"/>
      <c r="JS30" s="1943"/>
      <c r="JT30" s="1943"/>
      <c r="JU30" s="1943"/>
      <c r="JV30" s="1943"/>
      <c r="JW30" s="1943"/>
      <c r="JX30" s="1943"/>
      <c r="JY30" s="1943"/>
      <c r="JZ30" s="1943"/>
      <c r="KA30" s="1943"/>
      <c r="KB30" s="1943"/>
      <c r="KC30" s="1943"/>
      <c r="KD30" s="1944"/>
      <c r="KE30" s="1944"/>
      <c r="KF30" s="1945"/>
      <c r="KI30" s="1947"/>
    </row>
    <row r="31" spans="1:295" s="7" customFormat="1" ht="19.5" customHeight="1" x14ac:dyDescent="0.25">
      <c r="A31" s="357"/>
      <c r="B31" s="413" t="s">
        <v>602</v>
      </c>
      <c r="C31" s="178">
        <f>'[1]ОСНОВНЫЕ ОБЪЁМЫ'!$IE$227</f>
        <v>1402315.0896151287</v>
      </c>
      <c r="D31" s="360">
        <f>C31/1.2</f>
        <v>1168595.9080126074</v>
      </c>
      <c r="E31" s="2267"/>
      <c r="F31" s="346"/>
      <c r="G31" s="147"/>
      <c r="H31" s="148"/>
      <c r="I31" s="147"/>
      <c r="J31" s="147"/>
      <c r="K31" s="147"/>
      <c r="L31" s="53"/>
      <c r="M31" s="53"/>
      <c r="N31" s="149"/>
      <c r="O31" s="53"/>
      <c r="P31" s="53"/>
      <c r="Q31" s="55"/>
      <c r="R31" s="55"/>
      <c r="S31" s="53"/>
      <c r="T31" s="53"/>
      <c r="U31" s="53"/>
      <c r="V31" s="57"/>
      <c r="W31" s="2267"/>
      <c r="X31" s="245"/>
      <c r="Y31" s="245"/>
      <c r="Z31" s="245"/>
      <c r="AA31" s="245"/>
      <c r="AB31" s="245">
        <f>'[1]ОСНОВНЫЕ ОБЪЁМЫ'!$HJ$224+'[1]ОСНОВНЫЕ ОБЪЁМЫ'!$HL$224</f>
        <v>4692.1159900000002</v>
      </c>
      <c r="AC31" s="457"/>
      <c r="AD31" s="342"/>
      <c r="AE31" s="1767">
        <f>4.183/100*AB31*0+231.475+5.9/100*Y31+7/100*AD31</f>
        <v>231.47499999999999</v>
      </c>
      <c r="AF31" s="642"/>
      <c r="AG31" s="643"/>
      <c r="AH31" s="644"/>
      <c r="AI31" s="644"/>
      <c r="AJ31" s="644">
        <f>24/100/$AJ$95*AB31+37.6/100/$AJ$95*Y31</f>
        <v>798.6580408510639</v>
      </c>
      <c r="AK31" s="644">
        <f>28.7/100/$AK$95*AB31</f>
        <v>968.80380512949637</v>
      </c>
      <c r="AL31" s="644"/>
      <c r="AM31" s="645">
        <f>43.1/100/$AM$95*AB31+51.7/100/$AM$95*Y31+93/100/$AM$95*AD31</f>
        <v>1321.766007640523</v>
      </c>
      <c r="AN31" s="353">
        <f>4.7/100*Y31</f>
        <v>0</v>
      </c>
      <c r="AO31" s="215"/>
      <c r="AP31" s="349"/>
      <c r="AQ31" s="441">
        <f>0.018/100*Y31</f>
        <v>0</v>
      </c>
      <c r="AR31" s="126"/>
      <c r="AS31" s="228">
        <f>'[1]ОСНОВНЫЕ ОБЪЁМЫ'!$LN$106*'[1]ОСНОВНЫЕ ОБЪЁМЫ'!$GW$106+'[1]ОСНОВНЫЕ ОБЪЁМЫ'!$LN$107*'[1]ОСНОВНЫЕ ОБЪЁМЫ'!$GW$107</f>
        <v>4.8160400000000001</v>
      </c>
      <c r="AT31" s="2285"/>
      <c r="AU31" s="152"/>
      <c r="AV31" s="1768">
        <f>'[1]ОСНОВНЫЕ ОБЪЁМЫ'!$HA$224*0+318.945</f>
        <v>318.94499999999999</v>
      </c>
      <c r="AW31" s="56"/>
      <c r="AX31" s="140"/>
      <c r="AY31" s="630">
        <f>'[1]ОСНОВНЫЕ ОБЪЁМЫ'!$HB$80+'[1]ОСНОВНЫЕ ОБЪЁМЫ'!$HB$82+'[1]ОСНОВНЫЕ ОБЪЁМЫ'!$HB$83+348.727</f>
        <v>522.91699999999992</v>
      </c>
      <c r="AZ31" s="630">
        <f>'[1]ОСНОВНЫЕ ОБЪЁМЫ'!$HC$224*0+2064.742</f>
        <v>2064.7420000000002</v>
      </c>
      <c r="BA31" s="56"/>
      <c r="BB31" s="56"/>
      <c r="BC31" s="140"/>
      <c r="BD31" s="56"/>
      <c r="BE31" s="224"/>
      <c r="BF31" s="224"/>
      <c r="BG31" s="56"/>
      <c r="BH31" s="135">
        <f>'[1]ОСНОВНЫЕ ОБЪЁМЫ'!$HD$224</f>
        <v>251.28299999999999</v>
      </c>
      <c r="BI31" s="684"/>
      <c r="BJ31" s="55"/>
      <c r="BK31" s="55"/>
      <c r="BL31" s="118"/>
      <c r="BM31" s="144"/>
      <c r="BN31" s="55"/>
      <c r="BO31" s="55"/>
      <c r="BP31" s="118"/>
      <c r="BQ31" s="134"/>
      <c r="BR31" s="56"/>
      <c r="BS31" s="57"/>
      <c r="BT31" s="135"/>
      <c r="BU31" s="708">
        <f>'[1]ОСНОВНЫЕ ОБЪЁМЫ'!$HG$224</f>
        <v>480.90305000000001</v>
      </c>
      <c r="BV31" s="57">
        <f>'[1]ОСНОВНЫЕ ОБЪЁМЫ'!$HN$224/1.6</f>
        <v>944.5</v>
      </c>
      <c r="BW31" s="56"/>
      <c r="BX31" s="56">
        <f>'[1]ОСНОВНЫЕ ОБЪЁМЫ'!$HF$224</f>
        <v>241.24500000000003</v>
      </c>
      <c r="BY31" s="56"/>
      <c r="BZ31" s="135">
        <f>'[1]ОСНОВНЫЕ ОБЪЁМЫ'!$GY$224+'[1]ОСНОВНЫЕ ОБЪЁМЫ'!$GZ$224</f>
        <v>1586.7711000000002</v>
      </c>
      <c r="CA31" s="152"/>
      <c r="CB31" s="135"/>
      <c r="CC31" s="2267"/>
      <c r="CD31" s="134"/>
      <c r="CE31" s="56"/>
      <c r="CF31" s="56"/>
      <c r="CG31" s="224">
        <f>CI31/100*5.5+CK31/100*4.8</f>
        <v>41.414999999999999</v>
      </c>
      <c r="CH31" s="56"/>
      <c r="CI31" s="56">
        <f>'[1]ОСНОВНЫЕ ОБЪЁМЫ'!$GV$109</f>
        <v>753</v>
      </c>
      <c r="CJ31" s="56"/>
      <c r="CK31" s="56">
        <f>'[1]ОСНОВНЫЕ ОБЪЁМЫ'!$GV$134</f>
        <v>0</v>
      </c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60"/>
      <c r="DH31" s="60"/>
      <c r="DI31" s="56"/>
      <c r="DJ31" s="60"/>
      <c r="DK31" s="474"/>
      <c r="DL31" s="60"/>
      <c r="DM31" s="60"/>
      <c r="DN31" s="60">
        <f>423</f>
        <v>423</v>
      </c>
      <c r="DO31" s="60"/>
      <c r="DP31" s="60"/>
      <c r="DQ31" s="766"/>
      <c r="DR31" s="924"/>
      <c r="DS31" s="60"/>
      <c r="DT31" s="140">
        <f>73.73</f>
        <v>73.73</v>
      </c>
      <c r="DU31" s="134"/>
      <c r="DV31" s="135"/>
      <c r="DW31" s="932"/>
      <c r="DX31" s="690"/>
      <c r="DY31" s="1183">
        <v>5.5300000000000002E-2</v>
      </c>
      <c r="DZ31" s="690"/>
      <c r="EA31" s="690"/>
      <c r="EB31" s="1183">
        <f>0.0832</f>
        <v>8.3199999999999996E-2</v>
      </c>
      <c r="EC31" s="690"/>
      <c r="ED31" s="60"/>
      <c r="EE31" s="766"/>
      <c r="EF31" s="152"/>
      <c r="EG31" s="135"/>
      <c r="EH31" s="918"/>
      <c r="EI31" s="690"/>
      <c r="EJ31" s="690"/>
      <c r="EK31" s="690"/>
      <c r="EL31" s="690"/>
      <c r="EM31" s="690"/>
      <c r="EN31" s="690"/>
      <c r="EO31" s="690"/>
      <c r="EP31" s="690"/>
      <c r="EQ31" s="690"/>
      <c r="ER31" s="690"/>
      <c r="ES31" s="690">
        <f>7.15/20*(20-9-3)+(0.918+0.306)/(20+1)*(9+3)+0.45/1*0+1.19/17*(17-9-3)</f>
        <v>3.9094285714285717</v>
      </c>
      <c r="ET31" s="690">
        <v>14.574999999999999</v>
      </c>
      <c r="EU31" s="690"/>
      <c r="EV31" s="690"/>
      <c r="EW31" s="1183">
        <v>0.51</v>
      </c>
      <c r="EX31" s="60">
        <v>18</v>
      </c>
      <c r="EY31" s="690"/>
      <c r="EZ31" s="690"/>
      <c r="FA31" s="474"/>
      <c r="FB31" s="690"/>
      <c r="FC31" s="56"/>
      <c r="FD31" s="56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807"/>
      <c r="GI31" s="807"/>
      <c r="GJ31" s="807"/>
      <c r="GK31" s="807">
        <f>20+1</f>
        <v>21</v>
      </c>
      <c r="GL31" s="807"/>
      <c r="GM31" s="918">
        <f>17</f>
        <v>17</v>
      </c>
      <c r="GN31" s="60"/>
      <c r="GO31" s="60"/>
      <c r="GP31" s="60"/>
      <c r="GQ31" s="60">
        <f>ROUND((20+0)*52.93%,0)</f>
        <v>11</v>
      </c>
      <c r="GR31" s="60"/>
      <c r="GS31" s="60"/>
      <c r="GT31" s="60"/>
      <c r="GU31" s="60"/>
      <c r="GV31" s="60"/>
      <c r="GW31" s="60"/>
      <c r="GX31" s="60"/>
      <c r="GY31" s="60"/>
      <c r="GZ31" s="60">
        <f>ROUND(2*52.93%,0)</f>
        <v>1</v>
      </c>
      <c r="HA31" s="60">
        <f>ROUND((19+1)*52.93%,0)</f>
        <v>11</v>
      </c>
      <c r="HB31" s="60">
        <f>ROUND(2*52.93%,0)</f>
        <v>1</v>
      </c>
      <c r="HC31" s="60">
        <f>ROUND((4+0)*52.93%,0)</f>
        <v>2</v>
      </c>
      <c r="HD31" s="60">
        <f>ROUND(1*52.93%,0)</f>
        <v>1</v>
      </c>
      <c r="HE31" s="60">
        <f>ROUND((23+17)*52.93%,0)</f>
        <v>21</v>
      </c>
      <c r="HF31" s="60"/>
      <c r="HG31" s="60"/>
      <c r="HH31" s="60"/>
      <c r="HI31" s="60"/>
      <c r="HJ31" s="60"/>
      <c r="HK31" s="60"/>
      <c r="HL31" s="60"/>
      <c r="HM31" s="60">
        <f>ROUND((0+17)*52.93%,0)</f>
        <v>9</v>
      </c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>
        <f>ROUND(1*52.93%,0)</f>
        <v>1</v>
      </c>
      <c r="IF31" s="60"/>
      <c r="IG31" s="60"/>
      <c r="IH31" s="60"/>
      <c r="II31" s="60"/>
      <c r="IJ31" s="60"/>
      <c r="IK31" s="60"/>
      <c r="IL31" s="807"/>
      <c r="IM31" s="918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1680"/>
      <c r="JI31" s="766"/>
      <c r="JJ31" s="60"/>
      <c r="JK31" s="60"/>
      <c r="JL31" s="60">
        <f>ROUND(1*52.93%,0)</f>
        <v>1</v>
      </c>
      <c r="JM31" s="766">
        <f>ROUND((20+17)*52.93%,0)</f>
        <v>20</v>
      </c>
      <c r="JN31" s="918"/>
      <c r="JO31" s="766"/>
      <c r="JP31" s="62"/>
      <c r="JQ31" s="62"/>
      <c r="JR31" s="62"/>
      <c r="JS31" s="62"/>
      <c r="JT31" s="62"/>
      <c r="JU31" s="62"/>
      <c r="JV31" s="62"/>
      <c r="JW31" s="62"/>
      <c r="JX31" s="62"/>
      <c r="JY31" s="62"/>
      <c r="JZ31" s="62"/>
      <c r="KA31" s="62"/>
      <c r="KB31" s="62"/>
      <c r="KC31" s="62"/>
      <c r="KD31" s="18"/>
      <c r="KE31" s="18"/>
      <c r="KF31" s="1070"/>
      <c r="KI31" s="221"/>
    </row>
    <row r="32" spans="1:295" s="49" customFormat="1" ht="15.75" hidden="1" customHeight="1" x14ac:dyDescent="0.25">
      <c r="A32" s="560"/>
      <c r="B32" s="600"/>
      <c r="C32" s="803"/>
      <c r="D32" s="802">
        <f>C32/1.2</f>
        <v>0</v>
      </c>
      <c r="E32" s="2267"/>
      <c r="F32" s="561"/>
      <c r="G32" s="562"/>
      <c r="H32" s="563"/>
      <c r="I32" s="562"/>
      <c r="J32" s="562"/>
      <c r="K32" s="562"/>
      <c r="L32" s="564"/>
      <c r="M32" s="564"/>
      <c r="N32" s="565"/>
      <c r="O32" s="564"/>
      <c r="P32" s="564"/>
      <c r="Q32" s="566"/>
      <c r="R32" s="566"/>
      <c r="S32" s="564"/>
      <c r="T32" s="564"/>
      <c r="U32" s="564"/>
      <c r="V32" s="567"/>
      <c r="W32" s="2267"/>
      <c r="X32" s="568"/>
      <c r="Y32" s="568"/>
      <c r="Z32" s="568"/>
      <c r="AA32" s="568"/>
      <c r="AB32" s="568"/>
      <c r="AC32" s="569"/>
      <c r="AD32" s="570"/>
      <c r="AE32" s="599"/>
      <c r="AF32" s="568"/>
      <c r="AG32" s="652"/>
      <c r="AH32" s="569"/>
      <c r="AI32" s="569"/>
      <c r="AJ32" s="569"/>
      <c r="AK32" s="569"/>
      <c r="AL32" s="569"/>
      <c r="AM32" s="653"/>
      <c r="AN32" s="601"/>
      <c r="AO32" s="574"/>
      <c r="AP32" s="559"/>
      <c r="AQ32" s="602"/>
      <c r="AR32" s="576"/>
      <c r="AS32" s="577"/>
      <c r="AT32" s="2285"/>
      <c r="AU32" s="584"/>
      <c r="AV32" s="578"/>
      <c r="AW32" s="579"/>
      <c r="AX32" s="580"/>
      <c r="AY32" s="579"/>
      <c r="AZ32" s="579"/>
      <c r="BA32" s="579"/>
      <c r="BB32" s="579"/>
      <c r="BC32" s="580"/>
      <c r="BD32" s="579"/>
      <c r="BE32" s="585"/>
      <c r="BF32" s="585"/>
      <c r="BG32" s="579"/>
      <c r="BH32" s="581"/>
      <c r="BI32" s="1291"/>
      <c r="BJ32" s="566"/>
      <c r="BK32" s="566"/>
      <c r="BL32" s="583"/>
      <c r="BM32" s="582"/>
      <c r="BN32" s="566"/>
      <c r="BO32" s="566"/>
      <c r="BP32" s="583"/>
      <c r="BQ32" s="578"/>
      <c r="BR32" s="579"/>
      <c r="BS32" s="567"/>
      <c r="BT32" s="581"/>
      <c r="BU32" s="709"/>
      <c r="BV32" s="567"/>
      <c r="BW32" s="579"/>
      <c r="BX32" s="579"/>
      <c r="BY32" s="579"/>
      <c r="BZ32" s="581"/>
      <c r="CA32" s="584"/>
      <c r="CB32" s="581"/>
      <c r="CC32" s="2267"/>
      <c r="CD32" s="578"/>
      <c r="CE32" s="579"/>
      <c r="CF32" s="579"/>
      <c r="CG32" s="585"/>
      <c r="CH32" s="579"/>
      <c r="CI32" s="579"/>
      <c r="CJ32" s="579"/>
      <c r="CK32" s="579"/>
      <c r="CL32" s="579"/>
      <c r="CM32" s="579"/>
      <c r="CN32" s="579"/>
      <c r="CO32" s="579"/>
      <c r="CP32" s="579"/>
      <c r="CQ32" s="579"/>
      <c r="CR32" s="579"/>
      <c r="CS32" s="579"/>
      <c r="CT32" s="579"/>
      <c r="CU32" s="579"/>
      <c r="CV32" s="579"/>
      <c r="CW32" s="579"/>
      <c r="CX32" s="579"/>
      <c r="CY32" s="579"/>
      <c r="CZ32" s="579"/>
      <c r="DA32" s="579"/>
      <c r="DB32" s="579"/>
      <c r="DC32" s="579"/>
      <c r="DD32" s="579"/>
      <c r="DE32" s="579"/>
      <c r="DF32" s="579"/>
      <c r="DG32" s="586"/>
      <c r="DH32" s="586"/>
      <c r="DI32" s="579"/>
      <c r="DJ32" s="586"/>
      <c r="DK32" s="596"/>
      <c r="DL32" s="586"/>
      <c r="DM32" s="586"/>
      <c r="DN32" s="586"/>
      <c r="DO32" s="586"/>
      <c r="DP32" s="586"/>
      <c r="DQ32" s="768"/>
      <c r="DR32" s="926"/>
      <c r="DS32" s="586"/>
      <c r="DT32" s="580"/>
      <c r="DU32" s="578"/>
      <c r="DV32" s="581"/>
      <c r="DW32" s="933"/>
      <c r="DX32" s="925"/>
      <c r="DY32" s="925"/>
      <c r="DZ32" s="925"/>
      <c r="EA32" s="925"/>
      <c r="EB32" s="925"/>
      <c r="EC32" s="925"/>
      <c r="ED32" s="586"/>
      <c r="EE32" s="768"/>
      <c r="EF32" s="584"/>
      <c r="EG32" s="581"/>
      <c r="EH32" s="919"/>
      <c r="EI32" s="925"/>
      <c r="EJ32" s="925"/>
      <c r="EK32" s="925"/>
      <c r="EL32" s="925"/>
      <c r="EM32" s="925"/>
      <c r="EN32" s="925"/>
      <c r="EO32" s="925"/>
      <c r="EP32" s="925"/>
      <c r="EQ32" s="925"/>
      <c r="ER32" s="925"/>
      <c r="ES32" s="925"/>
      <c r="ET32" s="925"/>
      <c r="EU32" s="925"/>
      <c r="EV32" s="925"/>
      <c r="EW32" s="925"/>
      <c r="EX32" s="586"/>
      <c r="EY32" s="925"/>
      <c r="EZ32" s="925"/>
      <c r="FA32" s="596"/>
      <c r="FB32" s="925"/>
      <c r="FC32" s="579"/>
      <c r="FD32" s="579"/>
      <c r="FE32" s="586"/>
      <c r="FF32" s="586"/>
      <c r="FG32" s="586"/>
      <c r="FH32" s="586"/>
      <c r="FI32" s="586"/>
      <c r="FJ32" s="586"/>
      <c r="FK32" s="586"/>
      <c r="FL32" s="586"/>
      <c r="FM32" s="586"/>
      <c r="FN32" s="586"/>
      <c r="FO32" s="586"/>
      <c r="FP32" s="586"/>
      <c r="FQ32" s="586"/>
      <c r="FR32" s="586"/>
      <c r="FS32" s="586"/>
      <c r="FT32" s="586"/>
      <c r="FU32" s="586"/>
      <c r="FV32" s="586"/>
      <c r="FW32" s="586"/>
      <c r="FX32" s="586"/>
      <c r="FY32" s="586"/>
      <c r="FZ32" s="586"/>
      <c r="GA32" s="586"/>
      <c r="GB32" s="586"/>
      <c r="GC32" s="586"/>
      <c r="GD32" s="586"/>
      <c r="GE32" s="586"/>
      <c r="GF32" s="586"/>
      <c r="GG32" s="586"/>
      <c r="GH32" s="937"/>
      <c r="GI32" s="937"/>
      <c r="GJ32" s="807"/>
      <c r="GK32" s="937"/>
      <c r="GL32" s="937"/>
      <c r="GM32" s="590"/>
      <c r="GN32" s="586"/>
      <c r="GO32" s="586"/>
      <c r="GP32" s="586"/>
      <c r="GQ32" s="586"/>
      <c r="GR32" s="586"/>
      <c r="GS32" s="586"/>
      <c r="GT32" s="586"/>
      <c r="GU32" s="586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586"/>
      <c r="HG32" s="586"/>
      <c r="HH32" s="586"/>
      <c r="HI32" s="586"/>
      <c r="HJ32" s="586"/>
      <c r="HK32" s="586"/>
      <c r="HL32" s="586"/>
      <c r="HM32" s="586"/>
      <c r="HN32" s="586"/>
      <c r="HO32" s="586"/>
      <c r="HP32" s="586"/>
      <c r="HQ32" s="586"/>
      <c r="HR32" s="586"/>
      <c r="HS32" s="586"/>
      <c r="HT32" s="586"/>
      <c r="HU32" s="586"/>
      <c r="HV32" s="586"/>
      <c r="HW32" s="586"/>
      <c r="HX32" s="586"/>
      <c r="HY32" s="586"/>
      <c r="HZ32" s="586"/>
      <c r="IA32" s="586"/>
      <c r="IB32" s="586"/>
      <c r="IC32" s="586"/>
      <c r="ID32" s="586"/>
      <c r="IE32" s="586"/>
      <c r="IF32" s="586"/>
      <c r="IG32" s="586"/>
      <c r="IH32" s="586"/>
      <c r="II32" s="586"/>
      <c r="IJ32" s="586"/>
      <c r="IK32" s="586"/>
      <c r="IL32" s="937"/>
      <c r="IM32" s="919"/>
      <c r="IN32" s="586"/>
      <c r="IO32" s="586"/>
      <c r="IP32" s="586"/>
      <c r="IQ32" s="587"/>
      <c r="IR32" s="587"/>
      <c r="IS32" s="587"/>
      <c r="IT32" s="587"/>
      <c r="IU32" s="587"/>
      <c r="IV32" s="587"/>
      <c r="IW32" s="587"/>
      <c r="IX32" s="587"/>
      <c r="IY32" s="587"/>
      <c r="IZ32" s="587"/>
      <c r="JA32" s="587"/>
      <c r="JB32" s="587"/>
      <c r="JC32" s="587"/>
      <c r="JD32" s="587"/>
      <c r="JE32" s="587"/>
      <c r="JF32" s="587"/>
      <c r="JG32" s="587"/>
      <c r="JH32" s="588"/>
      <c r="JI32" s="589"/>
      <c r="JJ32" s="587"/>
      <c r="JK32" s="587"/>
      <c r="JL32" s="587"/>
      <c r="JM32" s="589"/>
      <c r="JN32" s="590"/>
      <c r="JO32" s="589"/>
      <c r="JP32" s="591"/>
      <c r="JQ32" s="591"/>
      <c r="JR32" s="591"/>
      <c r="JS32" s="591"/>
      <c r="JT32" s="591"/>
      <c r="JU32" s="591"/>
      <c r="JV32" s="591"/>
      <c r="JW32" s="591"/>
      <c r="JX32" s="591"/>
      <c r="JY32" s="591"/>
      <c r="JZ32" s="591"/>
      <c r="KA32" s="591"/>
      <c r="KB32" s="591"/>
      <c r="KC32" s="591"/>
      <c r="KD32" s="592"/>
      <c r="KE32" s="592"/>
      <c r="KF32" s="1071"/>
      <c r="KI32" s="593"/>
    </row>
    <row r="33" spans="1:295" s="49" customFormat="1" ht="15.75" hidden="1" customHeight="1" x14ac:dyDescent="0.25">
      <c r="A33" s="560"/>
      <c r="B33" s="597"/>
      <c r="C33" s="559"/>
      <c r="D33" s="802"/>
      <c r="E33" s="2267"/>
      <c r="F33" s="561"/>
      <c r="G33" s="562"/>
      <c r="H33" s="563"/>
      <c r="I33" s="562"/>
      <c r="J33" s="562"/>
      <c r="K33" s="562"/>
      <c r="L33" s="564"/>
      <c r="M33" s="564"/>
      <c r="N33" s="565"/>
      <c r="O33" s="564"/>
      <c r="P33" s="564"/>
      <c r="Q33" s="566"/>
      <c r="R33" s="566"/>
      <c r="S33" s="564"/>
      <c r="T33" s="564"/>
      <c r="U33" s="564"/>
      <c r="V33" s="567"/>
      <c r="W33" s="2267"/>
      <c r="X33" s="568"/>
      <c r="Y33" s="568"/>
      <c r="Z33" s="568"/>
      <c r="AA33" s="568"/>
      <c r="AB33" s="568"/>
      <c r="AC33" s="569"/>
      <c r="AD33" s="570"/>
      <c r="AE33" s="571">
        <f>4.03*X33/100</f>
        <v>0</v>
      </c>
      <c r="AF33" s="646"/>
      <c r="AG33" s="647"/>
      <c r="AH33" s="648"/>
      <c r="AI33" s="648"/>
      <c r="AJ33" s="648">
        <f>17.64*X33/100</f>
        <v>0</v>
      </c>
      <c r="AK33" s="648">
        <f>17.39*X33/100</f>
        <v>0</v>
      </c>
      <c r="AL33" s="648"/>
      <c r="AM33" s="649">
        <f>32.64*X33/100</f>
        <v>0</v>
      </c>
      <c r="AN33" s="573"/>
      <c r="AO33" s="574"/>
      <c r="AP33" s="595"/>
      <c r="AQ33" s="602"/>
      <c r="AR33" s="576"/>
      <c r="AS33" s="577"/>
      <c r="AT33" s="2285"/>
      <c r="AU33" s="584"/>
      <c r="AV33" s="578"/>
      <c r="AW33" s="579"/>
      <c r="AX33" s="580"/>
      <c r="AY33" s="579"/>
      <c r="AZ33" s="579"/>
      <c r="BA33" s="579"/>
      <c r="BB33" s="579"/>
      <c r="BC33" s="580"/>
      <c r="BD33" s="579"/>
      <c r="BE33" s="585"/>
      <c r="BF33" s="585"/>
      <c r="BG33" s="579"/>
      <c r="BH33" s="581"/>
      <c r="BI33" s="1291"/>
      <c r="BJ33" s="566"/>
      <c r="BK33" s="566"/>
      <c r="BL33" s="583"/>
      <c r="BM33" s="582"/>
      <c r="BN33" s="566"/>
      <c r="BO33" s="566"/>
      <c r="BP33" s="583"/>
      <c r="BQ33" s="578"/>
      <c r="BR33" s="579"/>
      <c r="BS33" s="567"/>
      <c r="BT33" s="581"/>
      <c r="BU33" s="709"/>
      <c r="BV33" s="567"/>
      <c r="BW33" s="579"/>
      <c r="BX33" s="579"/>
      <c r="BY33" s="579"/>
      <c r="BZ33" s="581"/>
      <c r="CA33" s="584"/>
      <c r="CB33" s="581"/>
      <c r="CC33" s="2267"/>
      <c r="CD33" s="578"/>
      <c r="CE33" s="579"/>
      <c r="CF33" s="579"/>
      <c r="CG33" s="585"/>
      <c r="CH33" s="579"/>
      <c r="CI33" s="579"/>
      <c r="CJ33" s="579"/>
      <c r="CK33" s="579"/>
      <c r="CL33" s="579"/>
      <c r="CM33" s="579"/>
      <c r="CN33" s="579"/>
      <c r="CO33" s="579"/>
      <c r="CP33" s="579"/>
      <c r="CQ33" s="579"/>
      <c r="CR33" s="579"/>
      <c r="CS33" s="579"/>
      <c r="CT33" s="579"/>
      <c r="CU33" s="579"/>
      <c r="CV33" s="579"/>
      <c r="CW33" s="579"/>
      <c r="CX33" s="579"/>
      <c r="CY33" s="579"/>
      <c r="CZ33" s="579"/>
      <c r="DA33" s="579"/>
      <c r="DB33" s="579"/>
      <c r="DC33" s="579"/>
      <c r="DD33" s="579"/>
      <c r="DE33" s="579"/>
      <c r="DF33" s="579"/>
      <c r="DG33" s="586"/>
      <c r="DH33" s="586"/>
      <c r="DI33" s="579"/>
      <c r="DJ33" s="586"/>
      <c r="DK33" s="596"/>
      <c r="DL33" s="586"/>
      <c r="DM33" s="586"/>
      <c r="DN33" s="586"/>
      <c r="DO33" s="586"/>
      <c r="DP33" s="586"/>
      <c r="DQ33" s="768"/>
      <c r="DR33" s="926"/>
      <c r="DS33" s="586"/>
      <c r="DT33" s="580"/>
      <c r="DU33" s="578"/>
      <c r="DV33" s="581"/>
      <c r="DW33" s="933"/>
      <c r="DX33" s="925"/>
      <c r="DY33" s="925"/>
      <c r="DZ33" s="925"/>
      <c r="EA33" s="925"/>
      <c r="EB33" s="925"/>
      <c r="EC33" s="925"/>
      <c r="ED33" s="586"/>
      <c r="EE33" s="768"/>
      <c r="EF33" s="584"/>
      <c r="EG33" s="581"/>
      <c r="EH33" s="919"/>
      <c r="EI33" s="925"/>
      <c r="EJ33" s="925"/>
      <c r="EK33" s="925"/>
      <c r="EL33" s="925"/>
      <c r="EM33" s="925"/>
      <c r="EN33" s="925"/>
      <c r="EO33" s="925"/>
      <c r="EP33" s="925"/>
      <c r="EQ33" s="925"/>
      <c r="ER33" s="925"/>
      <c r="ES33" s="925"/>
      <c r="ET33" s="925"/>
      <c r="EU33" s="925"/>
      <c r="EV33" s="925"/>
      <c r="EW33" s="925"/>
      <c r="EX33" s="586"/>
      <c r="EY33" s="925"/>
      <c r="EZ33" s="925"/>
      <c r="FA33" s="596"/>
      <c r="FB33" s="925"/>
      <c r="FC33" s="579"/>
      <c r="FD33" s="579"/>
      <c r="FE33" s="586"/>
      <c r="FF33" s="586"/>
      <c r="FG33" s="586"/>
      <c r="FH33" s="586"/>
      <c r="FI33" s="586"/>
      <c r="FJ33" s="586"/>
      <c r="FK33" s="586"/>
      <c r="FL33" s="586"/>
      <c r="FM33" s="586"/>
      <c r="FN33" s="586"/>
      <c r="FO33" s="586"/>
      <c r="FP33" s="586"/>
      <c r="FQ33" s="586"/>
      <c r="FR33" s="586"/>
      <c r="FS33" s="586"/>
      <c r="FT33" s="586"/>
      <c r="FU33" s="586"/>
      <c r="FV33" s="586"/>
      <c r="FW33" s="586"/>
      <c r="FX33" s="586"/>
      <c r="FY33" s="586"/>
      <c r="FZ33" s="586"/>
      <c r="GA33" s="586"/>
      <c r="GB33" s="586"/>
      <c r="GC33" s="586"/>
      <c r="GD33" s="586"/>
      <c r="GE33" s="586"/>
      <c r="GF33" s="586"/>
      <c r="GG33" s="586"/>
      <c r="GH33" s="937"/>
      <c r="GI33" s="937"/>
      <c r="GJ33" s="807"/>
      <c r="GK33" s="937"/>
      <c r="GL33" s="937"/>
      <c r="GM33" s="590"/>
      <c r="GN33" s="586"/>
      <c r="GO33" s="586"/>
      <c r="GP33" s="586"/>
      <c r="GQ33" s="586"/>
      <c r="GR33" s="586"/>
      <c r="GS33" s="586"/>
      <c r="GT33" s="586"/>
      <c r="GU33" s="586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586"/>
      <c r="HG33" s="586"/>
      <c r="HH33" s="586"/>
      <c r="HI33" s="586"/>
      <c r="HJ33" s="586"/>
      <c r="HK33" s="586"/>
      <c r="HL33" s="586"/>
      <c r="HM33" s="586"/>
      <c r="HN33" s="586"/>
      <c r="HO33" s="586"/>
      <c r="HP33" s="586"/>
      <c r="HQ33" s="586"/>
      <c r="HR33" s="586"/>
      <c r="HS33" s="586"/>
      <c r="HT33" s="586"/>
      <c r="HU33" s="586"/>
      <c r="HV33" s="586"/>
      <c r="HW33" s="586"/>
      <c r="HX33" s="586"/>
      <c r="HY33" s="586"/>
      <c r="HZ33" s="586"/>
      <c r="IA33" s="586"/>
      <c r="IB33" s="586"/>
      <c r="IC33" s="586"/>
      <c r="ID33" s="586"/>
      <c r="IE33" s="586"/>
      <c r="IF33" s="586"/>
      <c r="IG33" s="586"/>
      <c r="IH33" s="586"/>
      <c r="II33" s="586"/>
      <c r="IJ33" s="586"/>
      <c r="IK33" s="586"/>
      <c r="IL33" s="937"/>
      <c r="IM33" s="919"/>
      <c r="IN33" s="586"/>
      <c r="IO33" s="586"/>
      <c r="IP33" s="586"/>
      <c r="IQ33" s="587"/>
      <c r="IR33" s="587"/>
      <c r="IS33" s="587"/>
      <c r="IT33" s="587"/>
      <c r="IU33" s="587"/>
      <c r="IV33" s="587"/>
      <c r="IW33" s="587"/>
      <c r="IX33" s="587"/>
      <c r="IY33" s="587"/>
      <c r="IZ33" s="587"/>
      <c r="JA33" s="587"/>
      <c r="JB33" s="587"/>
      <c r="JC33" s="587"/>
      <c r="JD33" s="587"/>
      <c r="JE33" s="587"/>
      <c r="JF33" s="587"/>
      <c r="JG33" s="587"/>
      <c r="JH33" s="588"/>
      <c r="JI33" s="589"/>
      <c r="JJ33" s="587"/>
      <c r="JK33" s="587"/>
      <c r="JL33" s="587"/>
      <c r="JM33" s="589"/>
      <c r="JN33" s="590"/>
      <c r="JO33" s="589"/>
      <c r="JP33" s="591"/>
      <c r="JQ33" s="591"/>
      <c r="JR33" s="591"/>
      <c r="JS33" s="591"/>
      <c r="JT33" s="591"/>
      <c r="JU33" s="591"/>
      <c r="JV33" s="591"/>
      <c r="JW33" s="591"/>
      <c r="JX33" s="591"/>
      <c r="JY33" s="591"/>
      <c r="JZ33" s="591"/>
      <c r="KA33" s="591"/>
      <c r="KB33" s="591"/>
      <c r="KC33" s="591"/>
      <c r="KD33" s="592"/>
      <c r="KE33" s="592"/>
      <c r="KF33" s="1071"/>
      <c r="KI33" s="593"/>
    </row>
    <row r="34" spans="1:295" s="49" customFormat="1" ht="15.75" hidden="1" customHeight="1" x14ac:dyDescent="0.25">
      <c r="A34" s="560"/>
      <c r="B34" s="597"/>
      <c r="C34" s="559"/>
      <c r="D34" s="802"/>
      <c r="E34" s="2267"/>
      <c r="F34" s="561"/>
      <c r="G34" s="562"/>
      <c r="H34" s="563"/>
      <c r="I34" s="562"/>
      <c r="J34" s="562"/>
      <c r="K34" s="562"/>
      <c r="L34" s="564"/>
      <c r="M34" s="564"/>
      <c r="N34" s="565"/>
      <c r="O34" s="564"/>
      <c r="P34" s="564"/>
      <c r="Q34" s="566"/>
      <c r="R34" s="566"/>
      <c r="S34" s="564"/>
      <c r="T34" s="564"/>
      <c r="U34" s="564"/>
      <c r="V34" s="567"/>
      <c r="W34" s="2267"/>
      <c r="X34" s="568"/>
      <c r="Y34" s="568"/>
      <c r="Z34" s="568"/>
      <c r="AA34" s="568"/>
      <c r="AB34" s="568"/>
      <c r="AC34" s="569"/>
      <c r="AD34" s="570"/>
      <c r="AE34" s="598">
        <f>6.1*X34/100</f>
        <v>0</v>
      </c>
      <c r="AF34" s="654"/>
      <c r="AG34" s="655"/>
      <c r="AH34" s="658"/>
      <c r="AI34" s="658"/>
      <c r="AJ34" s="658">
        <f>24.16*X34/100</f>
        <v>0</v>
      </c>
      <c r="AK34" s="658"/>
      <c r="AL34" s="658"/>
      <c r="AM34" s="659">
        <f>41.52*X34/100</f>
        <v>0</v>
      </c>
      <c r="AN34" s="594"/>
      <c r="AO34" s="574"/>
      <c r="AP34" s="572"/>
      <c r="AQ34" s="602"/>
      <c r="AR34" s="576"/>
      <c r="AS34" s="577"/>
      <c r="AT34" s="2285"/>
      <c r="AU34" s="584"/>
      <c r="AV34" s="578"/>
      <c r="AW34" s="579"/>
      <c r="AX34" s="580"/>
      <c r="AY34" s="579"/>
      <c r="AZ34" s="579"/>
      <c r="BA34" s="579"/>
      <c r="BB34" s="579"/>
      <c r="BC34" s="580"/>
      <c r="BD34" s="579"/>
      <c r="BE34" s="585"/>
      <c r="BF34" s="585"/>
      <c r="BG34" s="579"/>
      <c r="BH34" s="581"/>
      <c r="BI34" s="1291"/>
      <c r="BJ34" s="566"/>
      <c r="BK34" s="566"/>
      <c r="BL34" s="583"/>
      <c r="BM34" s="582"/>
      <c r="BN34" s="566"/>
      <c r="BO34" s="566"/>
      <c r="BP34" s="583"/>
      <c r="BQ34" s="578"/>
      <c r="BR34" s="579"/>
      <c r="BS34" s="567"/>
      <c r="BT34" s="581"/>
      <c r="BU34" s="709"/>
      <c r="BV34" s="567"/>
      <c r="BW34" s="579"/>
      <c r="BX34" s="579"/>
      <c r="BY34" s="579"/>
      <c r="BZ34" s="581"/>
      <c r="CA34" s="584"/>
      <c r="CB34" s="581"/>
      <c r="CC34" s="2267"/>
      <c r="CD34" s="578"/>
      <c r="CE34" s="579"/>
      <c r="CF34" s="579"/>
      <c r="CG34" s="585"/>
      <c r="CH34" s="579"/>
      <c r="CI34" s="579"/>
      <c r="CJ34" s="579"/>
      <c r="CK34" s="579"/>
      <c r="CL34" s="579"/>
      <c r="CM34" s="579"/>
      <c r="CN34" s="579"/>
      <c r="CO34" s="579"/>
      <c r="CP34" s="579"/>
      <c r="CQ34" s="579"/>
      <c r="CR34" s="579"/>
      <c r="CS34" s="579"/>
      <c r="CT34" s="579"/>
      <c r="CU34" s="579"/>
      <c r="CV34" s="579"/>
      <c r="CW34" s="579"/>
      <c r="CX34" s="579"/>
      <c r="CY34" s="579"/>
      <c r="CZ34" s="579"/>
      <c r="DA34" s="579"/>
      <c r="DB34" s="579"/>
      <c r="DC34" s="579"/>
      <c r="DD34" s="579"/>
      <c r="DE34" s="579"/>
      <c r="DF34" s="579"/>
      <c r="DG34" s="586"/>
      <c r="DH34" s="586"/>
      <c r="DI34" s="579"/>
      <c r="DJ34" s="586"/>
      <c r="DK34" s="596"/>
      <c r="DL34" s="586"/>
      <c r="DM34" s="586"/>
      <c r="DN34" s="586"/>
      <c r="DO34" s="586"/>
      <c r="DP34" s="586"/>
      <c r="DQ34" s="768"/>
      <c r="DR34" s="926"/>
      <c r="DS34" s="586"/>
      <c r="DT34" s="580"/>
      <c r="DU34" s="578"/>
      <c r="DV34" s="581"/>
      <c r="DW34" s="933"/>
      <c r="DX34" s="925"/>
      <c r="DY34" s="925"/>
      <c r="DZ34" s="925"/>
      <c r="EA34" s="925"/>
      <c r="EB34" s="925"/>
      <c r="EC34" s="925"/>
      <c r="ED34" s="586"/>
      <c r="EE34" s="768"/>
      <c r="EF34" s="584"/>
      <c r="EG34" s="581"/>
      <c r="EH34" s="919"/>
      <c r="EI34" s="925"/>
      <c r="EJ34" s="925"/>
      <c r="EK34" s="925"/>
      <c r="EL34" s="925"/>
      <c r="EM34" s="925"/>
      <c r="EN34" s="925"/>
      <c r="EO34" s="925"/>
      <c r="EP34" s="925"/>
      <c r="EQ34" s="925"/>
      <c r="ER34" s="925"/>
      <c r="ES34" s="925"/>
      <c r="ET34" s="925"/>
      <c r="EU34" s="925"/>
      <c r="EV34" s="925"/>
      <c r="EW34" s="925"/>
      <c r="EX34" s="586"/>
      <c r="EY34" s="925"/>
      <c r="EZ34" s="925"/>
      <c r="FA34" s="596"/>
      <c r="FB34" s="925"/>
      <c r="FC34" s="579"/>
      <c r="FD34" s="579"/>
      <c r="FE34" s="586"/>
      <c r="FF34" s="586"/>
      <c r="FG34" s="586"/>
      <c r="FH34" s="586"/>
      <c r="FI34" s="586"/>
      <c r="FJ34" s="586"/>
      <c r="FK34" s="586"/>
      <c r="FL34" s="586"/>
      <c r="FM34" s="586"/>
      <c r="FN34" s="586"/>
      <c r="FO34" s="586"/>
      <c r="FP34" s="586"/>
      <c r="FQ34" s="586"/>
      <c r="FR34" s="586"/>
      <c r="FS34" s="586"/>
      <c r="FT34" s="586"/>
      <c r="FU34" s="586"/>
      <c r="FV34" s="586"/>
      <c r="FW34" s="586"/>
      <c r="FX34" s="586"/>
      <c r="FY34" s="586"/>
      <c r="FZ34" s="586"/>
      <c r="GA34" s="586"/>
      <c r="GB34" s="586"/>
      <c r="GC34" s="586"/>
      <c r="GD34" s="586"/>
      <c r="GE34" s="586"/>
      <c r="GF34" s="586"/>
      <c r="GG34" s="586"/>
      <c r="GH34" s="937"/>
      <c r="GI34" s="937"/>
      <c r="GJ34" s="807"/>
      <c r="GK34" s="937"/>
      <c r="GL34" s="937"/>
      <c r="GM34" s="590"/>
      <c r="GN34" s="586"/>
      <c r="GO34" s="586"/>
      <c r="GP34" s="586"/>
      <c r="GQ34" s="586"/>
      <c r="GR34" s="586"/>
      <c r="GS34" s="586"/>
      <c r="GT34" s="586"/>
      <c r="GU34" s="586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586"/>
      <c r="HG34" s="586"/>
      <c r="HH34" s="586"/>
      <c r="HI34" s="586"/>
      <c r="HJ34" s="586"/>
      <c r="HK34" s="586"/>
      <c r="HL34" s="586"/>
      <c r="HM34" s="586"/>
      <c r="HN34" s="586"/>
      <c r="HO34" s="586"/>
      <c r="HP34" s="586"/>
      <c r="HQ34" s="586"/>
      <c r="HR34" s="586"/>
      <c r="HS34" s="586"/>
      <c r="HT34" s="586"/>
      <c r="HU34" s="586"/>
      <c r="HV34" s="586"/>
      <c r="HW34" s="586"/>
      <c r="HX34" s="586"/>
      <c r="HY34" s="586"/>
      <c r="HZ34" s="586"/>
      <c r="IA34" s="586"/>
      <c r="IB34" s="586"/>
      <c r="IC34" s="586"/>
      <c r="ID34" s="586"/>
      <c r="IE34" s="586"/>
      <c r="IF34" s="586"/>
      <c r="IG34" s="586"/>
      <c r="IH34" s="586"/>
      <c r="II34" s="586"/>
      <c r="IJ34" s="586"/>
      <c r="IK34" s="586"/>
      <c r="IL34" s="937"/>
      <c r="IM34" s="919"/>
      <c r="IN34" s="586"/>
      <c r="IO34" s="586"/>
      <c r="IP34" s="586"/>
      <c r="IQ34" s="587"/>
      <c r="IR34" s="587"/>
      <c r="IS34" s="587"/>
      <c r="IT34" s="587"/>
      <c r="IU34" s="587"/>
      <c r="IV34" s="587"/>
      <c r="IW34" s="587"/>
      <c r="IX34" s="587"/>
      <c r="IY34" s="587"/>
      <c r="IZ34" s="587"/>
      <c r="JA34" s="587"/>
      <c r="JB34" s="587"/>
      <c r="JC34" s="587"/>
      <c r="JD34" s="587"/>
      <c r="JE34" s="587"/>
      <c r="JF34" s="587"/>
      <c r="JG34" s="587"/>
      <c r="JH34" s="588"/>
      <c r="JI34" s="589"/>
      <c r="JJ34" s="587"/>
      <c r="JK34" s="587"/>
      <c r="JL34" s="587"/>
      <c r="JM34" s="589"/>
      <c r="JN34" s="590"/>
      <c r="JO34" s="589"/>
      <c r="JP34" s="591"/>
      <c r="JQ34" s="591"/>
      <c r="JR34" s="591"/>
      <c r="JS34" s="591"/>
      <c r="JT34" s="591"/>
      <c r="JU34" s="591"/>
      <c r="JV34" s="591"/>
      <c r="JW34" s="591"/>
      <c r="JX34" s="591"/>
      <c r="JY34" s="591"/>
      <c r="JZ34" s="591"/>
      <c r="KA34" s="591"/>
      <c r="KB34" s="591"/>
      <c r="KC34" s="591"/>
      <c r="KD34" s="592"/>
      <c r="KE34" s="592"/>
      <c r="KF34" s="1071"/>
      <c r="KI34" s="593"/>
    </row>
    <row r="35" spans="1:295" s="49" customFormat="1" ht="15.75" hidden="1" customHeight="1" x14ac:dyDescent="0.25">
      <c r="A35" s="560"/>
      <c r="B35" s="603"/>
      <c r="C35" s="559"/>
      <c r="D35" s="802">
        <f>C35/1.2</f>
        <v>0</v>
      </c>
      <c r="E35" s="2267"/>
      <c r="F35" s="561"/>
      <c r="G35" s="562"/>
      <c r="H35" s="563"/>
      <c r="I35" s="562"/>
      <c r="J35" s="562"/>
      <c r="K35" s="562"/>
      <c r="L35" s="564"/>
      <c r="M35" s="564"/>
      <c r="N35" s="565"/>
      <c r="O35" s="564"/>
      <c r="P35" s="564"/>
      <c r="Q35" s="566"/>
      <c r="R35" s="566"/>
      <c r="S35" s="564"/>
      <c r="T35" s="564"/>
      <c r="U35" s="564"/>
      <c r="V35" s="567"/>
      <c r="W35" s="2267"/>
      <c r="X35" s="568"/>
      <c r="Y35" s="568"/>
      <c r="Z35" s="568"/>
      <c r="AA35" s="568"/>
      <c r="AB35" s="568"/>
      <c r="AC35" s="569"/>
      <c r="AD35" s="570"/>
      <c r="AE35" s="599">
        <f>X35*6.8/100</f>
        <v>0</v>
      </c>
      <c r="AF35" s="568"/>
      <c r="AG35" s="652"/>
      <c r="AH35" s="569"/>
      <c r="AI35" s="569"/>
      <c r="AJ35" s="569"/>
      <c r="AK35" s="569"/>
      <c r="AL35" s="569"/>
      <c r="AM35" s="653">
        <f>X35*63.4/100</f>
        <v>0</v>
      </c>
      <c r="AN35" s="601"/>
      <c r="AO35" s="574"/>
      <c r="AP35" s="559"/>
      <c r="AQ35" s="602"/>
      <c r="AR35" s="576"/>
      <c r="AS35" s="577"/>
      <c r="AT35" s="2285"/>
      <c r="AU35" s="584"/>
      <c r="AV35" s="578"/>
      <c r="AW35" s="579"/>
      <c r="AX35" s="580"/>
      <c r="AY35" s="579"/>
      <c r="AZ35" s="579"/>
      <c r="BA35" s="579"/>
      <c r="BB35" s="579"/>
      <c r="BC35" s="580"/>
      <c r="BD35" s="579"/>
      <c r="BE35" s="585"/>
      <c r="BF35" s="585"/>
      <c r="BG35" s="579"/>
      <c r="BH35" s="581"/>
      <c r="BI35" s="1291"/>
      <c r="BJ35" s="566"/>
      <c r="BK35" s="566"/>
      <c r="BL35" s="583"/>
      <c r="BM35" s="582"/>
      <c r="BN35" s="566"/>
      <c r="BO35" s="566"/>
      <c r="BP35" s="583"/>
      <c r="BQ35" s="578"/>
      <c r="BR35" s="579"/>
      <c r="BS35" s="567"/>
      <c r="BT35" s="581"/>
      <c r="BU35" s="709"/>
      <c r="BV35" s="567"/>
      <c r="BW35" s="579"/>
      <c r="BX35" s="579"/>
      <c r="BY35" s="579"/>
      <c r="BZ35" s="581"/>
      <c r="CA35" s="584"/>
      <c r="CB35" s="581"/>
      <c r="CC35" s="2267"/>
      <c r="CD35" s="578"/>
      <c r="CE35" s="579"/>
      <c r="CF35" s="579"/>
      <c r="CG35" s="585"/>
      <c r="CH35" s="579"/>
      <c r="CI35" s="579"/>
      <c r="CJ35" s="579"/>
      <c r="CK35" s="579"/>
      <c r="CL35" s="579"/>
      <c r="CM35" s="579"/>
      <c r="CN35" s="579"/>
      <c r="CO35" s="579"/>
      <c r="CP35" s="579"/>
      <c r="CQ35" s="579"/>
      <c r="CR35" s="579"/>
      <c r="CS35" s="579"/>
      <c r="CT35" s="579"/>
      <c r="CU35" s="579"/>
      <c r="CV35" s="579"/>
      <c r="CW35" s="579"/>
      <c r="CX35" s="579"/>
      <c r="CY35" s="579"/>
      <c r="CZ35" s="579"/>
      <c r="DA35" s="579"/>
      <c r="DB35" s="579"/>
      <c r="DC35" s="579"/>
      <c r="DD35" s="579"/>
      <c r="DE35" s="579"/>
      <c r="DF35" s="579"/>
      <c r="DG35" s="586"/>
      <c r="DH35" s="586"/>
      <c r="DI35" s="579"/>
      <c r="DJ35" s="586"/>
      <c r="DK35" s="596"/>
      <c r="DL35" s="586"/>
      <c r="DM35" s="586"/>
      <c r="DN35" s="586"/>
      <c r="DO35" s="586"/>
      <c r="DP35" s="586"/>
      <c r="DQ35" s="768"/>
      <c r="DR35" s="926"/>
      <c r="DS35" s="586"/>
      <c r="DT35" s="580"/>
      <c r="DU35" s="578"/>
      <c r="DV35" s="581"/>
      <c r="DW35" s="933"/>
      <c r="DX35" s="925"/>
      <c r="DY35" s="925"/>
      <c r="DZ35" s="925"/>
      <c r="EA35" s="925"/>
      <c r="EB35" s="925"/>
      <c r="EC35" s="925"/>
      <c r="ED35" s="586"/>
      <c r="EE35" s="768"/>
      <c r="EF35" s="584"/>
      <c r="EG35" s="581"/>
      <c r="EH35" s="919"/>
      <c r="EI35" s="925"/>
      <c r="EJ35" s="925"/>
      <c r="EK35" s="925"/>
      <c r="EL35" s="925"/>
      <c r="EM35" s="925"/>
      <c r="EN35" s="925"/>
      <c r="EO35" s="925"/>
      <c r="EP35" s="925"/>
      <c r="EQ35" s="925"/>
      <c r="ER35" s="925"/>
      <c r="ES35" s="925"/>
      <c r="ET35" s="925"/>
      <c r="EU35" s="925"/>
      <c r="EV35" s="925"/>
      <c r="EW35" s="925"/>
      <c r="EX35" s="586"/>
      <c r="EY35" s="925"/>
      <c r="EZ35" s="925"/>
      <c r="FA35" s="596"/>
      <c r="FB35" s="925"/>
      <c r="FC35" s="579"/>
      <c r="FD35" s="579"/>
      <c r="FE35" s="586"/>
      <c r="FF35" s="586"/>
      <c r="FG35" s="586"/>
      <c r="FH35" s="586"/>
      <c r="FI35" s="586"/>
      <c r="FJ35" s="586"/>
      <c r="FK35" s="586"/>
      <c r="FL35" s="586"/>
      <c r="FM35" s="586"/>
      <c r="FN35" s="586"/>
      <c r="FO35" s="586"/>
      <c r="FP35" s="586"/>
      <c r="FQ35" s="586"/>
      <c r="FR35" s="586"/>
      <c r="FS35" s="586"/>
      <c r="FT35" s="586"/>
      <c r="FU35" s="586"/>
      <c r="FV35" s="586"/>
      <c r="FW35" s="586"/>
      <c r="FX35" s="586"/>
      <c r="FY35" s="586"/>
      <c r="FZ35" s="586"/>
      <c r="GA35" s="586"/>
      <c r="GB35" s="586"/>
      <c r="GC35" s="586"/>
      <c r="GD35" s="586"/>
      <c r="GE35" s="586"/>
      <c r="GF35" s="586"/>
      <c r="GG35" s="586"/>
      <c r="GH35" s="937"/>
      <c r="GI35" s="937"/>
      <c r="GJ35" s="807"/>
      <c r="GK35" s="937"/>
      <c r="GL35" s="937"/>
      <c r="GM35" s="590"/>
      <c r="GN35" s="586"/>
      <c r="GO35" s="586"/>
      <c r="GP35" s="586"/>
      <c r="GQ35" s="586"/>
      <c r="GR35" s="586"/>
      <c r="GS35" s="586"/>
      <c r="GT35" s="586"/>
      <c r="GU35" s="586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586"/>
      <c r="HG35" s="586"/>
      <c r="HH35" s="586"/>
      <c r="HI35" s="586"/>
      <c r="HJ35" s="586"/>
      <c r="HK35" s="586"/>
      <c r="HL35" s="586"/>
      <c r="HM35" s="586"/>
      <c r="HN35" s="586"/>
      <c r="HO35" s="586"/>
      <c r="HP35" s="586"/>
      <c r="HQ35" s="586"/>
      <c r="HR35" s="586"/>
      <c r="HS35" s="586"/>
      <c r="HT35" s="586"/>
      <c r="HU35" s="586"/>
      <c r="HV35" s="586"/>
      <c r="HW35" s="586"/>
      <c r="HX35" s="586"/>
      <c r="HY35" s="586"/>
      <c r="HZ35" s="586"/>
      <c r="IA35" s="586"/>
      <c r="IB35" s="586"/>
      <c r="IC35" s="586"/>
      <c r="ID35" s="586"/>
      <c r="IE35" s="586"/>
      <c r="IF35" s="586"/>
      <c r="IG35" s="586"/>
      <c r="IH35" s="586"/>
      <c r="II35" s="586"/>
      <c r="IJ35" s="586"/>
      <c r="IK35" s="586"/>
      <c r="IL35" s="937"/>
      <c r="IM35" s="919"/>
      <c r="IN35" s="586"/>
      <c r="IO35" s="586"/>
      <c r="IP35" s="586"/>
      <c r="IQ35" s="587"/>
      <c r="IR35" s="587"/>
      <c r="IS35" s="587"/>
      <c r="IT35" s="587"/>
      <c r="IU35" s="587"/>
      <c r="IV35" s="587"/>
      <c r="IW35" s="587"/>
      <c r="IX35" s="587"/>
      <c r="IY35" s="587"/>
      <c r="IZ35" s="587"/>
      <c r="JA35" s="587"/>
      <c r="JB35" s="587"/>
      <c r="JC35" s="587"/>
      <c r="JD35" s="587"/>
      <c r="JE35" s="587"/>
      <c r="JF35" s="587"/>
      <c r="JG35" s="587"/>
      <c r="JH35" s="588"/>
      <c r="JI35" s="589"/>
      <c r="JJ35" s="587"/>
      <c r="JK35" s="587"/>
      <c r="JL35" s="587"/>
      <c r="JM35" s="589"/>
      <c r="JN35" s="590"/>
      <c r="JO35" s="589"/>
      <c r="JP35" s="591"/>
      <c r="JQ35" s="591"/>
      <c r="JR35" s="591"/>
      <c r="JS35" s="591"/>
      <c r="JT35" s="591"/>
      <c r="JU35" s="591"/>
      <c r="JV35" s="591"/>
      <c r="JW35" s="591"/>
      <c r="JX35" s="591"/>
      <c r="JY35" s="591"/>
      <c r="JZ35" s="591"/>
      <c r="KA35" s="591"/>
      <c r="KB35" s="591"/>
      <c r="KC35" s="591"/>
      <c r="KD35" s="592"/>
      <c r="KE35" s="592"/>
      <c r="KF35" s="1071"/>
      <c r="KI35" s="593"/>
    </row>
    <row r="36" spans="1:295" s="49" customFormat="1" ht="15.75" hidden="1" customHeight="1" x14ac:dyDescent="0.25">
      <c r="A36" s="560"/>
      <c r="B36" s="597"/>
      <c r="C36" s="559"/>
      <c r="D36" s="802"/>
      <c r="E36" s="2267"/>
      <c r="F36" s="561"/>
      <c r="G36" s="562"/>
      <c r="H36" s="563"/>
      <c r="I36" s="562"/>
      <c r="J36" s="562"/>
      <c r="K36" s="562"/>
      <c r="L36" s="564"/>
      <c r="M36" s="564"/>
      <c r="N36" s="565"/>
      <c r="O36" s="564"/>
      <c r="P36" s="564"/>
      <c r="Q36" s="566"/>
      <c r="R36" s="566"/>
      <c r="S36" s="564"/>
      <c r="T36" s="564"/>
      <c r="U36" s="564"/>
      <c r="V36" s="567"/>
      <c r="W36" s="2267"/>
      <c r="X36" s="568"/>
      <c r="Y36" s="568"/>
      <c r="Z36" s="568"/>
      <c r="AA36" s="568"/>
      <c r="AB36" s="568"/>
      <c r="AC36" s="569"/>
      <c r="AD36" s="570"/>
      <c r="AE36" s="571">
        <f>4.03*X36/100</f>
        <v>0</v>
      </c>
      <c r="AF36" s="646"/>
      <c r="AG36" s="647"/>
      <c r="AH36" s="648"/>
      <c r="AI36" s="648"/>
      <c r="AJ36" s="648">
        <f>17.64*X36/100</f>
        <v>0</v>
      </c>
      <c r="AK36" s="648">
        <f>17.39*X36/100</f>
        <v>0</v>
      </c>
      <c r="AL36" s="648"/>
      <c r="AM36" s="649">
        <f>32.64*X36/100</f>
        <v>0</v>
      </c>
      <c r="AN36" s="601"/>
      <c r="AO36" s="574"/>
      <c r="AP36" s="559"/>
      <c r="AQ36" s="602"/>
      <c r="AR36" s="576"/>
      <c r="AS36" s="577"/>
      <c r="AT36" s="2285"/>
      <c r="AU36" s="584"/>
      <c r="AV36" s="578"/>
      <c r="AW36" s="579"/>
      <c r="AX36" s="580"/>
      <c r="AY36" s="579"/>
      <c r="AZ36" s="579"/>
      <c r="BA36" s="579"/>
      <c r="BB36" s="579"/>
      <c r="BC36" s="580"/>
      <c r="BD36" s="579"/>
      <c r="BE36" s="585"/>
      <c r="BF36" s="585"/>
      <c r="BG36" s="579"/>
      <c r="BH36" s="581"/>
      <c r="BI36" s="1291"/>
      <c r="BJ36" s="566"/>
      <c r="BK36" s="566"/>
      <c r="BL36" s="583"/>
      <c r="BM36" s="582"/>
      <c r="BN36" s="566"/>
      <c r="BO36" s="566"/>
      <c r="BP36" s="583"/>
      <c r="BQ36" s="578"/>
      <c r="BR36" s="579"/>
      <c r="BS36" s="567"/>
      <c r="BT36" s="581"/>
      <c r="BU36" s="709"/>
      <c r="BV36" s="567"/>
      <c r="BW36" s="579"/>
      <c r="BX36" s="579"/>
      <c r="BY36" s="579"/>
      <c r="BZ36" s="581"/>
      <c r="CA36" s="584"/>
      <c r="CB36" s="581"/>
      <c r="CC36" s="2267"/>
      <c r="CD36" s="578"/>
      <c r="CE36" s="579"/>
      <c r="CF36" s="579"/>
      <c r="CG36" s="585"/>
      <c r="CH36" s="579"/>
      <c r="CI36" s="579"/>
      <c r="CJ36" s="579"/>
      <c r="CK36" s="579"/>
      <c r="CL36" s="579"/>
      <c r="CM36" s="579"/>
      <c r="CN36" s="579"/>
      <c r="CO36" s="579"/>
      <c r="CP36" s="579"/>
      <c r="CQ36" s="579"/>
      <c r="CR36" s="579"/>
      <c r="CS36" s="579"/>
      <c r="CT36" s="579"/>
      <c r="CU36" s="579"/>
      <c r="CV36" s="579"/>
      <c r="CW36" s="579"/>
      <c r="CX36" s="579"/>
      <c r="CY36" s="579"/>
      <c r="CZ36" s="579"/>
      <c r="DA36" s="579"/>
      <c r="DB36" s="579"/>
      <c r="DC36" s="579"/>
      <c r="DD36" s="579"/>
      <c r="DE36" s="579"/>
      <c r="DF36" s="579"/>
      <c r="DG36" s="586"/>
      <c r="DH36" s="586"/>
      <c r="DI36" s="579"/>
      <c r="DJ36" s="586"/>
      <c r="DK36" s="596"/>
      <c r="DL36" s="586"/>
      <c r="DM36" s="586"/>
      <c r="DN36" s="586"/>
      <c r="DO36" s="586"/>
      <c r="DP36" s="586"/>
      <c r="DQ36" s="768"/>
      <c r="DR36" s="926"/>
      <c r="DS36" s="586"/>
      <c r="DT36" s="580"/>
      <c r="DU36" s="578"/>
      <c r="DV36" s="581"/>
      <c r="DW36" s="933"/>
      <c r="DX36" s="925"/>
      <c r="DY36" s="925"/>
      <c r="DZ36" s="925"/>
      <c r="EA36" s="925"/>
      <c r="EB36" s="925"/>
      <c r="EC36" s="925"/>
      <c r="ED36" s="586"/>
      <c r="EE36" s="768"/>
      <c r="EF36" s="584"/>
      <c r="EG36" s="581"/>
      <c r="EH36" s="919"/>
      <c r="EI36" s="925"/>
      <c r="EJ36" s="925"/>
      <c r="EK36" s="925"/>
      <c r="EL36" s="925"/>
      <c r="EM36" s="925"/>
      <c r="EN36" s="925"/>
      <c r="EO36" s="925"/>
      <c r="EP36" s="925"/>
      <c r="EQ36" s="925"/>
      <c r="ER36" s="925"/>
      <c r="ES36" s="925"/>
      <c r="ET36" s="925"/>
      <c r="EU36" s="925"/>
      <c r="EV36" s="925"/>
      <c r="EW36" s="925"/>
      <c r="EX36" s="586"/>
      <c r="EY36" s="925"/>
      <c r="EZ36" s="925"/>
      <c r="FA36" s="596"/>
      <c r="FB36" s="925"/>
      <c r="FC36" s="579"/>
      <c r="FD36" s="579"/>
      <c r="FE36" s="586"/>
      <c r="FF36" s="586"/>
      <c r="FG36" s="586"/>
      <c r="FH36" s="586"/>
      <c r="FI36" s="586"/>
      <c r="FJ36" s="586"/>
      <c r="FK36" s="586"/>
      <c r="FL36" s="586"/>
      <c r="FM36" s="586"/>
      <c r="FN36" s="586"/>
      <c r="FO36" s="586"/>
      <c r="FP36" s="586"/>
      <c r="FQ36" s="586"/>
      <c r="FR36" s="586"/>
      <c r="FS36" s="586"/>
      <c r="FT36" s="586"/>
      <c r="FU36" s="586"/>
      <c r="FV36" s="586"/>
      <c r="FW36" s="586"/>
      <c r="FX36" s="586"/>
      <c r="FY36" s="586"/>
      <c r="FZ36" s="586"/>
      <c r="GA36" s="586"/>
      <c r="GB36" s="586"/>
      <c r="GC36" s="586"/>
      <c r="GD36" s="586"/>
      <c r="GE36" s="586"/>
      <c r="GF36" s="586"/>
      <c r="GG36" s="586"/>
      <c r="GH36" s="937"/>
      <c r="GI36" s="937"/>
      <c r="GJ36" s="807"/>
      <c r="GK36" s="937"/>
      <c r="GL36" s="937"/>
      <c r="GM36" s="590"/>
      <c r="GN36" s="586"/>
      <c r="GO36" s="586"/>
      <c r="GP36" s="586"/>
      <c r="GQ36" s="586"/>
      <c r="GR36" s="586"/>
      <c r="GS36" s="586"/>
      <c r="GT36" s="586"/>
      <c r="GU36" s="586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586"/>
      <c r="HG36" s="586"/>
      <c r="HH36" s="586"/>
      <c r="HI36" s="586"/>
      <c r="HJ36" s="586"/>
      <c r="HK36" s="586"/>
      <c r="HL36" s="586"/>
      <c r="HM36" s="586"/>
      <c r="HN36" s="586"/>
      <c r="HO36" s="586"/>
      <c r="HP36" s="586"/>
      <c r="HQ36" s="586"/>
      <c r="HR36" s="586"/>
      <c r="HS36" s="586"/>
      <c r="HT36" s="586"/>
      <c r="HU36" s="586"/>
      <c r="HV36" s="586"/>
      <c r="HW36" s="586"/>
      <c r="HX36" s="586"/>
      <c r="HY36" s="586"/>
      <c r="HZ36" s="586"/>
      <c r="IA36" s="586"/>
      <c r="IB36" s="586"/>
      <c r="IC36" s="586"/>
      <c r="ID36" s="586"/>
      <c r="IE36" s="586"/>
      <c r="IF36" s="586"/>
      <c r="IG36" s="586"/>
      <c r="IH36" s="586"/>
      <c r="II36" s="586"/>
      <c r="IJ36" s="586"/>
      <c r="IK36" s="586"/>
      <c r="IL36" s="937"/>
      <c r="IM36" s="919"/>
      <c r="IN36" s="586"/>
      <c r="IO36" s="586"/>
      <c r="IP36" s="586"/>
      <c r="IQ36" s="587"/>
      <c r="IR36" s="587"/>
      <c r="IS36" s="587"/>
      <c r="IT36" s="587"/>
      <c r="IU36" s="587"/>
      <c r="IV36" s="587"/>
      <c r="IW36" s="587"/>
      <c r="IX36" s="587"/>
      <c r="IY36" s="587"/>
      <c r="IZ36" s="587"/>
      <c r="JA36" s="587"/>
      <c r="JB36" s="587"/>
      <c r="JC36" s="587"/>
      <c r="JD36" s="587"/>
      <c r="JE36" s="587"/>
      <c r="JF36" s="587"/>
      <c r="JG36" s="587"/>
      <c r="JH36" s="588"/>
      <c r="JI36" s="589"/>
      <c r="JJ36" s="587"/>
      <c r="JK36" s="587"/>
      <c r="JL36" s="587"/>
      <c r="JM36" s="589"/>
      <c r="JN36" s="590"/>
      <c r="JO36" s="589"/>
      <c r="JP36" s="591"/>
      <c r="JQ36" s="591"/>
      <c r="JR36" s="591"/>
      <c r="JS36" s="591"/>
      <c r="JT36" s="591"/>
      <c r="JU36" s="591"/>
      <c r="JV36" s="591"/>
      <c r="JW36" s="591"/>
      <c r="JX36" s="591"/>
      <c r="JY36" s="591"/>
      <c r="JZ36" s="591"/>
      <c r="KA36" s="591"/>
      <c r="KB36" s="591"/>
      <c r="KC36" s="591"/>
      <c r="KD36" s="592"/>
      <c r="KE36" s="592"/>
      <c r="KF36" s="1071"/>
      <c r="KI36" s="593"/>
    </row>
    <row r="37" spans="1:295" s="49" customFormat="1" ht="15.75" hidden="1" customHeight="1" x14ac:dyDescent="0.25">
      <c r="A37" s="560"/>
      <c r="B37" s="597"/>
      <c r="C37" s="559"/>
      <c r="D37" s="802"/>
      <c r="E37" s="2267"/>
      <c r="F37" s="561"/>
      <c r="G37" s="562"/>
      <c r="H37" s="563"/>
      <c r="I37" s="562"/>
      <c r="J37" s="562"/>
      <c r="K37" s="562"/>
      <c r="L37" s="564"/>
      <c r="M37" s="564"/>
      <c r="N37" s="565"/>
      <c r="O37" s="564"/>
      <c r="P37" s="564"/>
      <c r="Q37" s="566"/>
      <c r="R37" s="566"/>
      <c r="S37" s="564"/>
      <c r="T37" s="564"/>
      <c r="U37" s="564"/>
      <c r="V37" s="567"/>
      <c r="W37" s="2267"/>
      <c r="X37" s="568"/>
      <c r="Y37" s="568"/>
      <c r="Z37" s="568"/>
      <c r="AA37" s="568"/>
      <c r="AB37" s="568"/>
      <c r="AC37" s="569"/>
      <c r="AD37" s="570"/>
      <c r="AE37" s="598">
        <f>6.1*X37/100</f>
        <v>0</v>
      </c>
      <c r="AF37" s="654"/>
      <c r="AG37" s="655"/>
      <c r="AH37" s="658"/>
      <c r="AI37" s="658"/>
      <c r="AJ37" s="658">
        <f>24.16*X37/100</f>
        <v>0</v>
      </c>
      <c r="AK37" s="658"/>
      <c r="AL37" s="658"/>
      <c r="AM37" s="659">
        <f>41.52*X37/100</f>
        <v>0</v>
      </c>
      <c r="AN37" s="601"/>
      <c r="AO37" s="574"/>
      <c r="AP37" s="559"/>
      <c r="AQ37" s="602"/>
      <c r="AR37" s="576"/>
      <c r="AS37" s="577"/>
      <c r="AT37" s="2285"/>
      <c r="AU37" s="584"/>
      <c r="AV37" s="578"/>
      <c r="AW37" s="579"/>
      <c r="AX37" s="580"/>
      <c r="AY37" s="579"/>
      <c r="AZ37" s="579"/>
      <c r="BA37" s="579"/>
      <c r="BB37" s="579"/>
      <c r="BC37" s="580"/>
      <c r="BD37" s="579"/>
      <c r="BE37" s="585"/>
      <c r="BF37" s="585"/>
      <c r="BG37" s="579"/>
      <c r="BH37" s="581"/>
      <c r="BI37" s="1291"/>
      <c r="BJ37" s="566"/>
      <c r="BK37" s="566"/>
      <c r="BL37" s="583"/>
      <c r="BM37" s="582"/>
      <c r="BN37" s="566"/>
      <c r="BO37" s="566"/>
      <c r="BP37" s="583"/>
      <c r="BQ37" s="578"/>
      <c r="BR37" s="579"/>
      <c r="BS37" s="567"/>
      <c r="BT37" s="581"/>
      <c r="BU37" s="709"/>
      <c r="BV37" s="567"/>
      <c r="BW37" s="579"/>
      <c r="BX37" s="579"/>
      <c r="BY37" s="579"/>
      <c r="BZ37" s="581"/>
      <c r="CA37" s="584"/>
      <c r="CB37" s="581"/>
      <c r="CC37" s="2267"/>
      <c r="CD37" s="578"/>
      <c r="CE37" s="579"/>
      <c r="CF37" s="579"/>
      <c r="CG37" s="585"/>
      <c r="CH37" s="579"/>
      <c r="CI37" s="579"/>
      <c r="CJ37" s="579"/>
      <c r="CK37" s="579"/>
      <c r="CL37" s="579"/>
      <c r="CM37" s="579"/>
      <c r="CN37" s="579"/>
      <c r="CO37" s="579"/>
      <c r="CP37" s="579"/>
      <c r="CQ37" s="579"/>
      <c r="CR37" s="579"/>
      <c r="CS37" s="579"/>
      <c r="CT37" s="579"/>
      <c r="CU37" s="579"/>
      <c r="CV37" s="579"/>
      <c r="CW37" s="579"/>
      <c r="CX37" s="579"/>
      <c r="CY37" s="579"/>
      <c r="CZ37" s="579"/>
      <c r="DA37" s="579"/>
      <c r="DB37" s="579"/>
      <c r="DC37" s="579"/>
      <c r="DD37" s="579"/>
      <c r="DE37" s="579"/>
      <c r="DF37" s="579"/>
      <c r="DG37" s="586"/>
      <c r="DH37" s="586"/>
      <c r="DI37" s="579"/>
      <c r="DJ37" s="586"/>
      <c r="DK37" s="596"/>
      <c r="DL37" s="586"/>
      <c r="DM37" s="586"/>
      <c r="DN37" s="586"/>
      <c r="DO37" s="586"/>
      <c r="DP37" s="586"/>
      <c r="DQ37" s="768"/>
      <c r="DR37" s="926"/>
      <c r="DS37" s="586"/>
      <c r="DT37" s="580"/>
      <c r="DU37" s="578"/>
      <c r="DV37" s="581"/>
      <c r="DW37" s="933"/>
      <c r="DX37" s="925"/>
      <c r="DY37" s="925"/>
      <c r="DZ37" s="925"/>
      <c r="EA37" s="925"/>
      <c r="EB37" s="925"/>
      <c r="EC37" s="925"/>
      <c r="ED37" s="586"/>
      <c r="EE37" s="768"/>
      <c r="EF37" s="584"/>
      <c r="EG37" s="581"/>
      <c r="EH37" s="919"/>
      <c r="EI37" s="925"/>
      <c r="EJ37" s="925"/>
      <c r="EK37" s="925"/>
      <c r="EL37" s="925"/>
      <c r="EM37" s="925"/>
      <c r="EN37" s="925"/>
      <c r="EO37" s="925"/>
      <c r="EP37" s="925"/>
      <c r="EQ37" s="925"/>
      <c r="ER37" s="925"/>
      <c r="ES37" s="925"/>
      <c r="ET37" s="925"/>
      <c r="EU37" s="925"/>
      <c r="EV37" s="925"/>
      <c r="EW37" s="925"/>
      <c r="EX37" s="586"/>
      <c r="EY37" s="925"/>
      <c r="EZ37" s="925"/>
      <c r="FA37" s="596"/>
      <c r="FB37" s="925"/>
      <c r="FC37" s="579"/>
      <c r="FD37" s="579"/>
      <c r="FE37" s="586"/>
      <c r="FF37" s="586"/>
      <c r="FG37" s="586"/>
      <c r="FH37" s="586"/>
      <c r="FI37" s="586"/>
      <c r="FJ37" s="586"/>
      <c r="FK37" s="586"/>
      <c r="FL37" s="586"/>
      <c r="FM37" s="586"/>
      <c r="FN37" s="586"/>
      <c r="FO37" s="586"/>
      <c r="FP37" s="586"/>
      <c r="FQ37" s="586"/>
      <c r="FR37" s="586"/>
      <c r="FS37" s="586"/>
      <c r="FT37" s="586"/>
      <c r="FU37" s="586"/>
      <c r="FV37" s="586"/>
      <c r="FW37" s="586"/>
      <c r="FX37" s="586"/>
      <c r="FY37" s="586"/>
      <c r="FZ37" s="586"/>
      <c r="GA37" s="586"/>
      <c r="GB37" s="586"/>
      <c r="GC37" s="586"/>
      <c r="GD37" s="586"/>
      <c r="GE37" s="586"/>
      <c r="GF37" s="586"/>
      <c r="GG37" s="586"/>
      <c r="GH37" s="937"/>
      <c r="GI37" s="937"/>
      <c r="GJ37" s="807"/>
      <c r="GK37" s="937"/>
      <c r="GL37" s="937"/>
      <c r="GM37" s="590"/>
      <c r="GN37" s="586"/>
      <c r="GO37" s="586"/>
      <c r="GP37" s="586"/>
      <c r="GQ37" s="586"/>
      <c r="GR37" s="586"/>
      <c r="GS37" s="586"/>
      <c r="GT37" s="586"/>
      <c r="GU37" s="586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586"/>
      <c r="HG37" s="586"/>
      <c r="HH37" s="586"/>
      <c r="HI37" s="586"/>
      <c r="HJ37" s="586"/>
      <c r="HK37" s="586"/>
      <c r="HL37" s="586"/>
      <c r="HM37" s="586"/>
      <c r="HN37" s="586"/>
      <c r="HO37" s="586"/>
      <c r="HP37" s="586"/>
      <c r="HQ37" s="586"/>
      <c r="HR37" s="586"/>
      <c r="HS37" s="586"/>
      <c r="HT37" s="586"/>
      <c r="HU37" s="586"/>
      <c r="HV37" s="586"/>
      <c r="HW37" s="586"/>
      <c r="HX37" s="586"/>
      <c r="HY37" s="586"/>
      <c r="HZ37" s="586"/>
      <c r="IA37" s="586"/>
      <c r="IB37" s="586"/>
      <c r="IC37" s="586"/>
      <c r="ID37" s="586"/>
      <c r="IE37" s="586"/>
      <c r="IF37" s="586"/>
      <c r="IG37" s="586"/>
      <c r="IH37" s="586"/>
      <c r="II37" s="586"/>
      <c r="IJ37" s="586"/>
      <c r="IK37" s="586"/>
      <c r="IL37" s="937"/>
      <c r="IM37" s="919"/>
      <c r="IN37" s="586"/>
      <c r="IO37" s="586"/>
      <c r="IP37" s="586"/>
      <c r="IQ37" s="587"/>
      <c r="IR37" s="587"/>
      <c r="IS37" s="587"/>
      <c r="IT37" s="587"/>
      <c r="IU37" s="587"/>
      <c r="IV37" s="587"/>
      <c r="IW37" s="587"/>
      <c r="IX37" s="587"/>
      <c r="IY37" s="587"/>
      <c r="IZ37" s="587"/>
      <c r="JA37" s="587"/>
      <c r="JB37" s="587"/>
      <c r="JC37" s="587"/>
      <c r="JD37" s="587"/>
      <c r="JE37" s="587"/>
      <c r="JF37" s="587"/>
      <c r="JG37" s="587"/>
      <c r="JH37" s="588"/>
      <c r="JI37" s="589"/>
      <c r="JJ37" s="587"/>
      <c r="JK37" s="587"/>
      <c r="JL37" s="587"/>
      <c r="JM37" s="589"/>
      <c r="JN37" s="590"/>
      <c r="JO37" s="589"/>
      <c r="JP37" s="591"/>
      <c r="JQ37" s="591"/>
      <c r="JR37" s="591"/>
      <c r="JS37" s="591"/>
      <c r="JT37" s="591"/>
      <c r="JU37" s="591"/>
      <c r="JV37" s="591"/>
      <c r="JW37" s="591"/>
      <c r="JX37" s="591"/>
      <c r="JY37" s="591"/>
      <c r="JZ37" s="591"/>
      <c r="KA37" s="591"/>
      <c r="KB37" s="591"/>
      <c r="KC37" s="591"/>
      <c r="KD37" s="592"/>
      <c r="KE37" s="592"/>
      <c r="KF37" s="1071"/>
      <c r="KI37" s="593"/>
    </row>
    <row r="38" spans="1:295" s="49" customFormat="1" ht="15.75" hidden="1" customHeight="1" x14ac:dyDescent="0.25">
      <c r="A38" s="560"/>
      <c r="B38" s="604"/>
      <c r="C38" s="559"/>
      <c r="D38" s="802">
        <f>C38/1.2</f>
        <v>0</v>
      </c>
      <c r="E38" s="2267"/>
      <c r="F38" s="561"/>
      <c r="G38" s="562"/>
      <c r="H38" s="563"/>
      <c r="I38" s="562"/>
      <c r="J38" s="562"/>
      <c r="K38" s="562"/>
      <c r="L38" s="564"/>
      <c r="M38" s="564"/>
      <c r="N38" s="565"/>
      <c r="O38" s="564"/>
      <c r="P38" s="564"/>
      <c r="Q38" s="566"/>
      <c r="R38" s="566"/>
      <c r="S38" s="564"/>
      <c r="T38" s="564"/>
      <c r="U38" s="564"/>
      <c r="V38" s="567"/>
      <c r="W38" s="2267"/>
      <c r="X38" s="568"/>
      <c r="Y38" s="568"/>
      <c r="Z38" s="568"/>
      <c r="AA38" s="568"/>
      <c r="AB38" s="568"/>
      <c r="AC38" s="569"/>
      <c r="AD38" s="570"/>
      <c r="AE38" s="599"/>
      <c r="AF38" s="568"/>
      <c r="AG38" s="652"/>
      <c r="AH38" s="569"/>
      <c r="AI38" s="569"/>
      <c r="AJ38" s="569"/>
      <c r="AK38" s="569"/>
      <c r="AL38" s="569"/>
      <c r="AM38" s="653"/>
      <c r="AN38" s="601"/>
      <c r="AO38" s="574"/>
      <c r="AP38" s="559"/>
      <c r="AQ38" s="602"/>
      <c r="AR38" s="576"/>
      <c r="AS38" s="577"/>
      <c r="AT38" s="2285"/>
      <c r="AU38" s="584"/>
      <c r="AV38" s="578"/>
      <c r="AW38" s="579"/>
      <c r="AX38" s="580"/>
      <c r="AY38" s="579"/>
      <c r="AZ38" s="579"/>
      <c r="BA38" s="579"/>
      <c r="BB38" s="579"/>
      <c r="BC38" s="580"/>
      <c r="BD38" s="579"/>
      <c r="BE38" s="585"/>
      <c r="BF38" s="585"/>
      <c r="BG38" s="579"/>
      <c r="BH38" s="581"/>
      <c r="BI38" s="1291"/>
      <c r="BJ38" s="566"/>
      <c r="BK38" s="566"/>
      <c r="BL38" s="583"/>
      <c r="BM38" s="582"/>
      <c r="BN38" s="566"/>
      <c r="BO38" s="566"/>
      <c r="BP38" s="583"/>
      <c r="BQ38" s="578"/>
      <c r="BR38" s="579"/>
      <c r="BS38" s="567"/>
      <c r="BT38" s="581"/>
      <c r="BU38" s="709"/>
      <c r="BV38" s="567"/>
      <c r="BW38" s="579"/>
      <c r="BX38" s="579"/>
      <c r="BY38" s="579"/>
      <c r="BZ38" s="581"/>
      <c r="CA38" s="584"/>
      <c r="CB38" s="581"/>
      <c r="CC38" s="2267"/>
      <c r="CD38" s="578"/>
      <c r="CE38" s="579"/>
      <c r="CF38" s="579"/>
      <c r="CG38" s="585"/>
      <c r="CH38" s="579"/>
      <c r="CI38" s="579"/>
      <c r="CJ38" s="579"/>
      <c r="CK38" s="579"/>
      <c r="CL38" s="579"/>
      <c r="CM38" s="579"/>
      <c r="CN38" s="579"/>
      <c r="CO38" s="579"/>
      <c r="CP38" s="579"/>
      <c r="CQ38" s="579"/>
      <c r="CR38" s="579"/>
      <c r="CS38" s="579"/>
      <c r="CT38" s="579"/>
      <c r="CU38" s="579"/>
      <c r="CV38" s="579"/>
      <c r="CW38" s="579"/>
      <c r="CX38" s="579"/>
      <c r="CY38" s="579"/>
      <c r="CZ38" s="579"/>
      <c r="DA38" s="579"/>
      <c r="DB38" s="579"/>
      <c r="DC38" s="579"/>
      <c r="DD38" s="579"/>
      <c r="DE38" s="579"/>
      <c r="DF38" s="579"/>
      <c r="DG38" s="586"/>
      <c r="DH38" s="586"/>
      <c r="DI38" s="579"/>
      <c r="DJ38" s="586"/>
      <c r="DK38" s="596"/>
      <c r="DL38" s="586"/>
      <c r="DM38" s="586"/>
      <c r="DN38" s="586"/>
      <c r="DO38" s="586"/>
      <c r="DP38" s="586"/>
      <c r="DQ38" s="768"/>
      <c r="DR38" s="926"/>
      <c r="DS38" s="586"/>
      <c r="DT38" s="580"/>
      <c r="DU38" s="578"/>
      <c r="DV38" s="581"/>
      <c r="DW38" s="933"/>
      <c r="DX38" s="925"/>
      <c r="DY38" s="925"/>
      <c r="DZ38" s="925"/>
      <c r="EA38" s="925"/>
      <c r="EB38" s="925"/>
      <c r="EC38" s="925"/>
      <c r="ED38" s="586"/>
      <c r="EE38" s="768"/>
      <c r="EF38" s="584"/>
      <c r="EG38" s="581"/>
      <c r="EH38" s="919"/>
      <c r="EI38" s="925"/>
      <c r="EJ38" s="925"/>
      <c r="EK38" s="925"/>
      <c r="EL38" s="925"/>
      <c r="EM38" s="925"/>
      <c r="EN38" s="925"/>
      <c r="EO38" s="925"/>
      <c r="EP38" s="925"/>
      <c r="EQ38" s="925"/>
      <c r="ER38" s="925"/>
      <c r="ES38" s="925"/>
      <c r="ET38" s="925"/>
      <c r="EU38" s="925"/>
      <c r="EV38" s="925"/>
      <c r="EW38" s="925"/>
      <c r="EX38" s="586"/>
      <c r="EY38" s="925"/>
      <c r="EZ38" s="925"/>
      <c r="FA38" s="596"/>
      <c r="FB38" s="925"/>
      <c r="FC38" s="579"/>
      <c r="FD38" s="579"/>
      <c r="FE38" s="586"/>
      <c r="FF38" s="586"/>
      <c r="FG38" s="586"/>
      <c r="FH38" s="586"/>
      <c r="FI38" s="586"/>
      <c r="FJ38" s="586"/>
      <c r="FK38" s="586"/>
      <c r="FL38" s="586"/>
      <c r="FM38" s="586"/>
      <c r="FN38" s="586"/>
      <c r="FO38" s="586"/>
      <c r="FP38" s="586"/>
      <c r="FQ38" s="586"/>
      <c r="FR38" s="586"/>
      <c r="FS38" s="586"/>
      <c r="FT38" s="586"/>
      <c r="FU38" s="586"/>
      <c r="FV38" s="586"/>
      <c r="FW38" s="586"/>
      <c r="FX38" s="586"/>
      <c r="FY38" s="586"/>
      <c r="FZ38" s="586"/>
      <c r="GA38" s="586"/>
      <c r="GB38" s="586"/>
      <c r="GC38" s="586"/>
      <c r="GD38" s="586"/>
      <c r="GE38" s="586"/>
      <c r="GF38" s="586"/>
      <c r="GG38" s="586"/>
      <c r="GH38" s="937"/>
      <c r="GI38" s="937"/>
      <c r="GJ38" s="807"/>
      <c r="GK38" s="937"/>
      <c r="GL38" s="937"/>
      <c r="GM38" s="590"/>
      <c r="GN38" s="586"/>
      <c r="GO38" s="586"/>
      <c r="GP38" s="586"/>
      <c r="GQ38" s="586"/>
      <c r="GR38" s="586"/>
      <c r="GS38" s="586"/>
      <c r="GT38" s="586"/>
      <c r="GU38" s="586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586"/>
      <c r="HG38" s="586"/>
      <c r="HH38" s="586"/>
      <c r="HI38" s="586"/>
      <c r="HJ38" s="586"/>
      <c r="HK38" s="586"/>
      <c r="HL38" s="586"/>
      <c r="HM38" s="586"/>
      <c r="HN38" s="586"/>
      <c r="HO38" s="586"/>
      <c r="HP38" s="586"/>
      <c r="HQ38" s="586"/>
      <c r="HR38" s="586"/>
      <c r="HS38" s="586"/>
      <c r="HT38" s="586"/>
      <c r="HU38" s="586"/>
      <c r="HV38" s="586"/>
      <c r="HW38" s="586"/>
      <c r="HX38" s="586"/>
      <c r="HY38" s="586"/>
      <c r="HZ38" s="586"/>
      <c r="IA38" s="586"/>
      <c r="IB38" s="586"/>
      <c r="IC38" s="586"/>
      <c r="ID38" s="586"/>
      <c r="IE38" s="586"/>
      <c r="IF38" s="586"/>
      <c r="IG38" s="586"/>
      <c r="IH38" s="586"/>
      <c r="II38" s="586"/>
      <c r="IJ38" s="586"/>
      <c r="IK38" s="586"/>
      <c r="IL38" s="937"/>
      <c r="IM38" s="919"/>
      <c r="IN38" s="586"/>
      <c r="IO38" s="586"/>
      <c r="IP38" s="586"/>
      <c r="IQ38" s="587"/>
      <c r="IR38" s="587"/>
      <c r="IS38" s="587"/>
      <c r="IT38" s="587"/>
      <c r="IU38" s="587"/>
      <c r="IV38" s="587"/>
      <c r="IW38" s="587"/>
      <c r="IX38" s="587"/>
      <c r="IY38" s="587"/>
      <c r="IZ38" s="587"/>
      <c r="JA38" s="587"/>
      <c r="JB38" s="587"/>
      <c r="JC38" s="587"/>
      <c r="JD38" s="587"/>
      <c r="JE38" s="587"/>
      <c r="JF38" s="587"/>
      <c r="JG38" s="587"/>
      <c r="JH38" s="588"/>
      <c r="JI38" s="589"/>
      <c r="JJ38" s="587"/>
      <c r="JK38" s="587"/>
      <c r="JL38" s="587"/>
      <c r="JM38" s="589"/>
      <c r="JN38" s="590"/>
      <c r="JO38" s="589"/>
      <c r="JP38" s="591"/>
      <c r="JQ38" s="591"/>
      <c r="JR38" s="591"/>
      <c r="JS38" s="591"/>
      <c r="JT38" s="591"/>
      <c r="JU38" s="591"/>
      <c r="JV38" s="591"/>
      <c r="JW38" s="591"/>
      <c r="JX38" s="591"/>
      <c r="JY38" s="591"/>
      <c r="JZ38" s="591"/>
      <c r="KA38" s="591"/>
      <c r="KB38" s="591"/>
      <c r="KC38" s="591"/>
      <c r="KD38" s="592"/>
      <c r="KE38" s="592"/>
      <c r="KF38" s="1071"/>
      <c r="KI38" s="593"/>
    </row>
    <row r="39" spans="1:295" s="49" customFormat="1" ht="15.75" hidden="1" customHeight="1" x14ac:dyDescent="0.25">
      <c r="A39" s="560"/>
      <c r="B39" s="605"/>
      <c r="C39" s="559"/>
      <c r="D39" s="802"/>
      <c r="E39" s="2267"/>
      <c r="F39" s="561"/>
      <c r="G39" s="562"/>
      <c r="H39" s="563"/>
      <c r="I39" s="562"/>
      <c r="J39" s="562"/>
      <c r="K39" s="562"/>
      <c r="L39" s="564"/>
      <c r="M39" s="564"/>
      <c r="N39" s="565"/>
      <c r="O39" s="564"/>
      <c r="P39" s="564"/>
      <c r="Q39" s="566"/>
      <c r="R39" s="566"/>
      <c r="S39" s="564"/>
      <c r="T39" s="564"/>
      <c r="U39" s="564"/>
      <c r="V39" s="567"/>
      <c r="W39" s="2267"/>
      <c r="X39" s="568"/>
      <c r="Y39" s="568"/>
      <c r="Z39" s="568"/>
      <c r="AA39" s="568"/>
      <c r="AB39" s="568"/>
      <c r="AC39" s="569"/>
      <c r="AD39" s="570"/>
      <c r="AE39" s="598">
        <f>6.1*X39/100</f>
        <v>0</v>
      </c>
      <c r="AF39" s="654"/>
      <c r="AG39" s="655"/>
      <c r="AH39" s="658"/>
      <c r="AI39" s="658"/>
      <c r="AJ39" s="658">
        <f>24.16*X39/100</f>
        <v>0</v>
      </c>
      <c r="AK39" s="658"/>
      <c r="AL39" s="658"/>
      <c r="AM39" s="659">
        <f>41.52*X39/100</f>
        <v>0</v>
      </c>
      <c r="AN39" s="594"/>
      <c r="AO39" s="574"/>
      <c r="AP39" s="572"/>
      <c r="AQ39" s="575"/>
      <c r="AR39" s="576"/>
      <c r="AS39" s="577"/>
      <c r="AT39" s="2285"/>
      <c r="AU39" s="584"/>
      <c r="AV39" s="578"/>
      <c r="AW39" s="579"/>
      <c r="AX39" s="580"/>
      <c r="AY39" s="579"/>
      <c r="AZ39" s="579"/>
      <c r="BA39" s="579"/>
      <c r="BB39" s="579"/>
      <c r="BC39" s="580"/>
      <c r="BD39" s="579"/>
      <c r="BE39" s="585"/>
      <c r="BF39" s="585"/>
      <c r="BG39" s="579"/>
      <c r="BH39" s="581"/>
      <c r="BI39" s="1291"/>
      <c r="BJ39" s="566"/>
      <c r="BK39" s="566"/>
      <c r="BL39" s="583"/>
      <c r="BM39" s="582"/>
      <c r="BN39" s="566"/>
      <c r="BO39" s="566"/>
      <c r="BP39" s="583"/>
      <c r="BQ39" s="578"/>
      <c r="BR39" s="579"/>
      <c r="BS39" s="567"/>
      <c r="BT39" s="581"/>
      <c r="BU39" s="709"/>
      <c r="BV39" s="567"/>
      <c r="BW39" s="579"/>
      <c r="BX39" s="579"/>
      <c r="BY39" s="579"/>
      <c r="BZ39" s="581"/>
      <c r="CA39" s="584"/>
      <c r="CB39" s="581"/>
      <c r="CC39" s="2267"/>
      <c r="CD39" s="578"/>
      <c r="CE39" s="579"/>
      <c r="CF39" s="579"/>
      <c r="CG39" s="585"/>
      <c r="CH39" s="579"/>
      <c r="CI39" s="579"/>
      <c r="CJ39" s="579"/>
      <c r="CK39" s="579"/>
      <c r="CL39" s="579"/>
      <c r="CM39" s="579"/>
      <c r="CN39" s="579"/>
      <c r="CO39" s="579"/>
      <c r="CP39" s="579"/>
      <c r="CQ39" s="579"/>
      <c r="CR39" s="579"/>
      <c r="CS39" s="579"/>
      <c r="CT39" s="579"/>
      <c r="CU39" s="579"/>
      <c r="CV39" s="579"/>
      <c r="CW39" s="579"/>
      <c r="CX39" s="579"/>
      <c r="CY39" s="579"/>
      <c r="CZ39" s="579"/>
      <c r="DA39" s="579"/>
      <c r="DB39" s="579"/>
      <c r="DC39" s="579"/>
      <c r="DD39" s="579"/>
      <c r="DE39" s="579"/>
      <c r="DF39" s="579"/>
      <c r="DG39" s="586"/>
      <c r="DH39" s="586"/>
      <c r="DI39" s="579"/>
      <c r="DJ39" s="586"/>
      <c r="DK39" s="596"/>
      <c r="DL39" s="586"/>
      <c r="DM39" s="586"/>
      <c r="DN39" s="586"/>
      <c r="DO39" s="586"/>
      <c r="DP39" s="586"/>
      <c r="DQ39" s="768"/>
      <c r="DR39" s="926"/>
      <c r="DS39" s="586"/>
      <c r="DT39" s="580"/>
      <c r="DU39" s="578"/>
      <c r="DV39" s="581"/>
      <c r="DW39" s="933"/>
      <c r="DX39" s="925"/>
      <c r="DY39" s="925"/>
      <c r="DZ39" s="925"/>
      <c r="EA39" s="925"/>
      <c r="EB39" s="925"/>
      <c r="EC39" s="925"/>
      <c r="ED39" s="586"/>
      <c r="EE39" s="768"/>
      <c r="EF39" s="584"/>
      <c r="EG39" s="581"/>
      <c r="EH39" s="919"/>
      <c r="EI39" s="925"/>
      <c r="EJ39" s="925"/>
      <c r="EK39" s="925"/>
      <c r="EL39" s="925"/>
      <c r="EM39" s="925"/>
      <c r="EN39" s="925"/>
      <c r="EO39" s="925"/>
      <c r="EP39" s="925"/>
      <c r="EQ39" s="925"/>
      <c r="ER39" s="925"/>
      <c r="ES39" s="925"/>
      <c r="ET39" s="925"/>
      <c r="EU39" s="925"/>
      <c r="EV39" s="925"/>
      <c r="EW39" s="925"/>
      <c r="EX39" s="586"/>
      <c r="EY39" s="925"/>
      <c r="EZ39" s="925"/>
      <c r="FA39" s="596"/>
      <c r="FB39" s="925"/>
      <c r="FC39" s="579"/>
      <c r="FD39" s="579"/>
      <c r="FE39" s="586"/>
      <c r="FF39" s="586"/>
      <c r="FG39" s="586"/>
      <c r="FH39" s="586"/>
      <c r="FI39" s="586"/>
      <c r="FJ39" s="586"/>
      <c r="FK39" s="586"/>
      <c r="FL39" s="586"/>
      <c r="FM39" s="586"/>
      <c r="FN39" s="586"/>
      <c r="FO39" s="586"/>
      <c r="FP39" s="586"/>
      <c r="FQ39" s="586"/>
      <c r="FR39" s="586"/>
      <c r="FS39" s="586"/>
      <c r="FT39" s="586"/>
      <c r="FU39" s="586"/>
      <c r="FV39" s="586"/>
      <c r="FW39" s="586"/>
      <c r="FX39" s="586"/>
      <c r="FY39" s="586"/>
      <c r="FZ39" s="586"/>
      <c r="GA39" s="586"/>
      <c r="GB39" s="586"/>
      <c r="GC39" s="586"/>
      <c r="GD39" s="586"/>
      <c r="GE39" s="586"/>
      <c r="GF39" s="586"/>
      <c r="GG39" s="586"/>
      <c r="GH39" s="937"/>
      <c r="GI39" s="937"/>
      <c r="GJ39" s="807"/>
      <c r="GK39" s="937"/>
      <c r="GL39" s="937"/>
      <c r="GM39" s="590"/>
      <c r="GN39" s="586"/>
      <c r="GO39" s="586"/>
      <c r="GP39" s="586"/>
      <c r="GQ39" s="586"/>
      <c r="GR39" s="586"/>
      <c r="GS39" s="586"/>
      <c r="GT39" s="586"/>
      <c r="GU39" s="586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586"/>
      <c r="HG39" s="586"/>
      <c r="HH39" s="586"/>
      <c r="HI39" s="586"/>
      <c r="HJ39" s="586"/>
      <c r="HK39" s="586"/>
      <c r="HL39" s="586"/>
      <c r="HM39" s="586"/>
      <c r="HN39" s="586"/>
      <c r="HO39" s="586"/>
      <c r="HP39" s="586"/>
      <c r="HQ39" s="586"/>
      <c r="HR39" s="586"/>
      <c r="HS39" s="586"/>
      <c r="HT39" s="586"/>
      <c r="HU39" s="586"/>
      <c r="HV39" s="586"/>
      <c r="HW39" s="586"/>
      <c r="HX39" s="586"/>
      <c r="HY39" s="586"/>
      <c r="HZ39" s="586"/>
      <c r="IA39" s="586"/>
      <c r="IB39" s="586"/>
      <c r="IC39" s="586"/>
      <c r="ID39" s="586"/>
      <c r="IE39" s="586"/>
      <c r="IF39" s="586"/>
      <c r="IG39" s="586"/>
      <c r="IH39" s="586"/>
      <c r="II39" s="586"/>
      <c r="IJ39" s="586"/>
      <c r="IK39" s="586"/>
      <c r="IL39" s="937"/>
      <c r="IM39" s="919"/>
      <c r="IN39" s="586"/>
      <c r="IO39" s="586"/>
      <c r="IP39" s="586"/>
      <c r="IQ39" s="587"/>
      <c r="IR39" s="587"/>
      <c r="IS39" s="587"/>
      <c r="IT39" s="587"/>
      <c r="IU39" s="587"/>
      <c r="IV39" s="587"/>
      <c r="IW39" s="587"/>
      <c r="IX39" s="587"/>
      <c r="IY39" s="587"/>
      <c r="IZ39" s="587"/>
      <c r="JA39" s="587"/>
      <c r="JB39" s="587"/>
      <c r="JC39" s="587"/>
      <c r="JD39" s="587"/>
      <c r="JE39" s="587"/>
      <c r="JF39" s="587"/>
      <c r="JG39" s="587"/>
      <c r="JH39" s="588"/>
      <c r="JI39" s="589"/>
      <c r="JJ39" s="587"/>
      <c r="JK39" s="587"/>
      <c r="JL39" s="587"/>
      <c r="JM39" s="589"/>
      <c r="JN39" s="590"/>
      <c r="JO39" s="589"/>
      <c r="JP39" s="591"/>
      <c r="JQ39" s="591"/>
      <c r="JR39" s="591"/>
      <c r="JS39" s="591"/>
      <c r="JT39" s="591"/>
      <c r="JU39" s="591"/>
      <c r="JV39" s="591"/>
      <c r="JW39" s="591"/>
      <c r="JX39" s="591"/>
      <c r="JY39" s="591"/>
      <c r="JZ39" s="591"/>
      <c r="KA39" s="591"/>
      <c r="KB39" s="591"/>
      <c r="KC39" s="591"/>
      <c r="KD39" s="592"/>
      <c r="KE39" s="592"/>
      <c r="KF39" s="1071"/>
      <c r="KI39" s="593"/>
    </row>
    <row r="40" spans="1:295" s="49" customFormat="1" ht="15.75" hidden="1" customHeight="1" x14ac:dyDescent="0.25">
      <c r="A40" s="560"/>
      <c r="B40" s="597"/>
      <c r="C40" s="559"/>
      <c r="D40" s="802"/>
      <c r="E40" s="2267"/>
      <c r="F40" s="561"/>
      <c r="G40" s="562"/>
      <c r="H40" s="563"/>
      <c r="I40" s="562"/>
      <c r="J40" s="562"/>
      <c r="K40" s="562"/>
      <c r="L40" s="564"/>
      <c r="M40" s="564"/>
      <c r="N40" s="565"/>
      <c r="O40" s="564"/>
      <c r="P40" s="564"/>
      <c r="Q40" s="566"/>
      <c r="R40" s="566"/>
      <c r="S40" s="564"/>
      <c r="T40" s="564"/>
      <c r="U40" s="564"/>
      <c r="V40" s="567"/>
      <c r="W40" s="2267"/>
      <c r="X40" s="568"/>
      <c r="Y40" s="568"/>
      <c r="Z40" s="568"/>
      <c r="AA40" s="568"/>
      <c r="AB40" s="568"/>
      <c r="AC40" s="569"/>
      <c r="AD40" s="570"/>
      <c r="AE40" s="599">
        <f>X40*4.1/100</f>
        <v>0</v>
      </c>
      <c r="AF40" s="568"/>
      <c r="AG40" s="652"/>
      <c r="AH40" s="569"/>
      <c r="AI40" s="569"/>
      <c r="AJ40" s="569">
        <f>X40*24.67/100</f>
        <v>0</v>
      </c>
      <c r="AK40" s="569">
        <f>X40*17.37/100</f>
        <v>0</v>
      </c>
      <c r="AL40" s="569"/>
      <c r="AM40" s="653">
        <f>X40*24.78/100</f>
        <v>0</v>
      </c>
      <c r="AN40" s="601">
        <f>X40*1.92/100</f>
        <v>0</v>
      </c>
      <c r="AO40" s="574"/>
      <c r="AP40" s="559"/>
      <c r="AQ40" s="602"/>
      <c r="AR40" s="576"/>
      <c r="AS40" s="577"/>
      <c r="AT40" s="2285"/>
      <c r="AU40" s="584"/>
      <c r="AV40" s="578"/>
      <c r="AW40" s="579"/>
      <c r="AX40" s="580"/>
      <c r="AY40" s="579"/>
      <c r="AZ40" s="579"/>
      <c r="BA40" s="579"/>
      <c r="BB40" s="579"/>
      <c r="BC40" s="580"/>
      <c r="BD40" s="579"/>
      <c r="BE40" s="585"/>
      <c r="BF40" s="585"/>
      <c r="BG40" s="579"/>
      <c r="BH40" s="581"/>
      <c r="BI40" s="1291"/>
      <c r="BJ40" s="566"/>
      <c r="BK40" s="566"/>
      <c r="BL40" s="583"/>
      <c r="BM40" s="582"/>
      <c r="BN40" s="566"/>
      <c r="BO40" s="566"/>
      <c r="BP40" s="583"/>
      <c r="BQ40" s="578"/>
      <c r="BR40" s="579"/>
      <c r="BS40" s="567"/>
      <c r="BT40" s="581"/>
      <c r="BU40" s="709"/>
      <c r="BV40" s="567"/>
      <c r="BW40" s="579"/>
      <c r="BX40" s="579"/>
      <c r="BY40" s="579"/>
      <c r="BZ40" s="581"/>
      <c r="CA40" s="584"/>
      <c r="CB40" s="581"/>
      <c r="CC40" s="2267"/>
      <c r="CD40" s="578"/>
      <c r="CE40" s="579"/>
      <c r="CF40" s="579"/>
      <c r="CG40" s="585"/>
      <c r="CH40" s="579"/>
      <c r="CI40" s="579"/>
      <c r="CJ40" s="579"/>
      <c r="CK40" s="579"/>
      <c r="CL40" s="579"/>
      <c r="CM40" s="579"/>
      <c r="CN40" s="579"/>
      <c r="CO40" s="579"/>
      <c r="CP40" s="579"/>
      <c r="CQ40" s="579"/>
      <c r="CR40" s="579"/>
      <c r="CS40" s="579"/>
      <c r="CT40" s="579"/>
      <c r="CU40" s="579"/>
      <c r="CV40" s="579"/>
      <c r="CW40" s="579"/>
      <c r="CX40" s="579"/>
      <c r="CY40" s="579"/>
      <c r="CZ40" s="579"/>
      <c r="DA40" s="579"/>
      <c r="DB40" s="579"/>
      <c r="DC40" s="579"/>
      <c r="DD40" s="579"/>
      <c r="DE40" s="579"/>
      <c r="DF40" s="579"/>
      <c r="DG40" s="586"/>
      <c r="DH40" s="586"/>
      <c r="DI40" s="579"/>
      <c r="DJ40" s="586"/>
      <c r="DK40" s="596"/>
      <c r="DL40" s="586"/>
      <c r="DM40" s="586"/>
      <c r="DN40" s="586"/>
      <c r="DO40" s="586"/>
      <c r="DP40" s="586"/>
      <c r="DQ40" s="768"/>
      <c r="DR40" s="926"/>
      <c r="DS40" s="586"/>
      <c r="DT40" s="580"/>
      <c r="DU40" s="578"/>
      <c r="DV40" s="581"/>
      <c r="DW40" s="933"/>
      <c r="DX40" s="925"/>
      <c r="DY40" s="925"/>
      <c r="DZ40" s="925"/>
      <c r="EA40" s="925"/>
      <c r="EB40" s="925"/>
      <c r="EC40" s="925"/>
      <c r="ED40" s="586"/>
      <c r="EE40" s="768"/>
      <c r="EF40" s="584"/>
      <c r="EG40" s="581"/>
      <c r="EH40" s="919"/>
      <c r="EI40" s="925"/>
      <c r="EJ40" s="925"/>
      <c r="EK40" s="925"/>
      <c r="EL40" s="925"/>
      <c r="EM40" s="925"/>
      <c r="EN40" s="925"/>
      <c r="EO40" s="925"/>
      <c r="EP40" s="925"/>
      <c r="EQ40" s="925"/>
      <c r="ER40" s="925"/>
      <c r="ES40" s="925"/>
      <c r="ET40" s="925"/>
      <c r="EU40" s="925"/>
      <c r="EV40" s="925"/>
      <c r="EW40" s="925"/>
      <c r="EX40" s="586"/>
      <c r="EY40" s="925"/>
      <c r="EZ40" s="925"/>
      <c r="FA40" s="596"/>
      <c r="FB40" s="925"/>
      <c r="FC40" s="579"/>
      <c r="FD40" s="579"/>
      <c r="FE40" s="586"/>
      <c r="FF40" s="586"/>
      <c r="FG40" s="586"/>
      <c r="FH40" s="586"/>
      <c r="FI40" s="586"/>
      <c r="FJ40" s="586"/>
      <c r="FK40" s="586"/>
      <c r="FL40" s="586"/>
      <c r="FM40" s="586"/>
      <c r="FN40" s="586"/>
      <c r="FO40" s="586"/>
      <c r="FP40" s="586"/>
      <c r="FQ40" s="586"/>
      <c r="FR40" s="586"/>
      <c r="FS40" s="586"/>
      <c r="FT40" s="586"/>
      <c r="FU40" s="586"/>
      <c r="FV40" s="586"/>
      <c r="FW40" s="586"/>
      <c r="FX40" s="586"/>
      <c r="FY40" s="586"/>
      <c r="FZ40" s="586"/>
      <c r="GA40" s="586"/>
      <c r="GB40" s="586"/>
      <c r="GC40" s="586"/>
      <c r="GD40" s="586"/>
      <c r="GE40" s="586"/>
      <c r="GF40" s="586"/>
      <c r="GG40" s="586"/>
      <c r="GH40" s="937"/>
      <c r="GI40" s="937"/>
      <c r="GJ40" s="807"/>
      <c r="GK40" s="937"/>
      <c r="GL40" s="937"/>
      <c r="GM40" s="590"/>
      <c r="GN40" s="586"/>
      <c r="GO40" s="586"/>
      <c r="GP40" s="586"/>
      <c r="GQ40" s="586"/>
      <c r="GR40" s="586"/>
      <c r="GS40" s="586"/>
      <c r="GT40" s="586"/>
      <c r="GU40" s="586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586"/>
      <c r="HG40" s="586"/>
      <c r="HH40" s="586"/>
      <c r="HI40" s="586"/>
      <c r="HJ40" s="586"/>
      <c r="HK40" s="586"/>
      <c r="HL40" s="586"/>
      <c r="HM40" s="586"/>
      <c r="HN40" s="586"/>
      <c r="HO40" s="586"/>
      <c r="HP40" s="586"/>
      <c r="HQ40" s="586"/>
      <c r="HR40" s="586"/>
      <c r="HS40" s="586"/>
      <c r="HT40" s="586"/>
      <c r="HU40" s="586"/>
      <c r="HV40" s="586"/>
      <c r="HW40" s="586"/>
      <c r="HX40" s="586"/>
      <c r="HY40" s="586"/>
      <c r="HZ40" s="586"/>
      <c r="IA40" s="586"/>
      <c r="IB40" s="586"/>
      <c r="IC40" s="586"/>
      <c r="ID40" s="586"/>
      <c r="IE40" s="586"/>
      <c r="IF40" s="586"/>
      <c r="IG40" s="586"/>
      <c r="IH40" s="586"/>
      <c r="II40" s="586"/>
      <c r="IJ40" s="586"/>
      <c r="IK40" s="586"/>
      <c r="IL40" s="937"/>
      <c r="IM40" s="919"/>
      <c r="IN40" s="586"/>
      <c r="IO40" s="586"/>
      <c r="IP40" s="586"/>
      <c r="IQ40" s="587"/>
      <c r="IR40" s="587"/>
      <c r="IS40" s="587"/>
      <c r="IT40" s="587"/>
      <c r="IU40" s="587"/>
      <c r="IV40" s="587"/>
      <c r="IW40" s="587"/>
      <c r="IX40" s="587"/>
      <c r="IY40" s="587"/>
      <c r="IZ40" s="587"/>
      <c r="JA40" s="587"/>
      <c r="JB40" s="587"/>
      <c r="JC40" s="587"/>
      <c r="JD40" s="587"/>
      <c r="JE40" s="587"/>
      <c r="JF40" s="587"/>
      <c r="JG40" s="587"/>
      <c r="JH40" s="588"/>
      <c r="JI40" s="589"/>
      <c r="JJ40" s="587"/>
      <c r="JK40" s="587"/>
      <c r="JL40" s="587"/>
      <c r="JM40" s="589"/>
      <c r="JN40" s="590"/>
      <c r="JO40" s="589"/>
      <c r="JP40" s="591"/>
      <c r="JQ40" s="591"/>
      <c r="JR40" s="591"/>
      <c r="JS40" s="591"/>
      <c r="JT40" s="591"/>
      <c r="JU40" s="591"/>
      <c r="JV40" s="591"/>
      <c r="JW40" s="591"/>
      <c r="JX40" s="591"/>
      <c r="JY40" s="591"/>
      <c r="JZ40" s="591"/>
      <c r="KA40" s="591"/>
      <c r="KB40" s="591"/>
      <c r="KC40" s="591"/>
      <c r="KD40" s="592"/>
      <c r="KE40" s="592"/>
      <c r="KF40" s="1071"/>
      <c r="KI40" s="593"/>
    </row>
    <row r="41" spans="1:295" s="49" customFormat="1" ht="15.75" hidden="1" customHeight="1" x14ac:dyDescent="0.25">
      <c r="A41" s="560"/>
      <c r="B41" s="597"/>
      <c r="C41" s="559"/>
      <c r="D41" s="802"/>
      <c r="E41" s="2267"/>
      <c r="F41" s="561"/>
      <c r="G41" s="562"/>
      <c r="H41" s="563"/>
      <c r="I41" s="562"/>
      <c r="J41" s="562"/>
      <c r="K41" s="562"/>
      <c r="L41" s="564"/>
      <c r="M41" s="564"/>
      <c r="N41" s="565"/>
      <c r="O41" s="564"/>
      <c r="P41" s="564"/>
      <c r="Q41" s="566"/>
      <c r="R41" s="566"/>
      <c r="S41" s="564"/>
      <c r="T41" s="564"/>
      <c r="U41" s="564"/>
      <c r="V41" s="567"/>
      <c r="W41" s="2267"/>
      <c r="X41" s="568"/>
      <c r="Y41" s="568"/>
      <c r="Z41" s="568"/>
      <c r="AA41" s="568"/>
      <c r="AB41" s="568"/>
      <c r="AC41" s="569"/>
      <c r="AD41" s="570"/>
      <c r="AE41" s="599">
        <f>X41*4.47/100</f>
        <v>0</v>
      </c>
      <c r="AF41" s="568"/>
      <c r="AG41" s="652"/>
      <c r="AH41" s="569"/>
      <c r="AI41" s="569"/>
      <c r="AJ41" s="569">
        <f>X41*41.43/100</f>
        <v>0</v>
      </c>
      <c r="AK41" s="569"/>
      <c r="AL41" s="569"/>
      <c r="AM41" s="653">
        <f>X41*25.34/100</f>
        <v>0</v>
      </c>
      <c r="AN41" s="601">
        <f>X41*1.91/100</f>
        <v>0</v>
      </c>
      <c r="AO41" s="574"/>
      <c r="AP41" s="559"/>
      <c r="AQ41" s="602"/>
      <c r="AR41" s="576"/>
      <c r="AS41" s="577"/>
      <c r="AT41" s="2285"/>
      <c r="AU41" s="584"/>
      <c r="AV41" s="578"/>
      <c r="AW41" s="579"/>
      <c r="AX41" s="580"/>
      <c r="AY41" s="579"/>
      <c r="AZ41" s="579"/>
      <c r="BA41" s="579"/>
      <c r="BB41" s="579"/>
      <c r="BC41" s="580"/>
      <c r="BD41" s="579"/>
      <c r="BE41" s="585"/>
      <c r="BF41" s="585"/>
      <c r="BG41" s="579"/>
      <c r="BH41" s="581"/>
      <c r="BI41" s="1291"/>
      <c r="BJ41" s="566"/>
      <c r="BK41" s="566"/>
      <c r="BL41" s="583"/>
      <c r="BM41" s="582"/>
      <c r="BN41" s="566"/>
      <c r="BO41" s="566"/>
      <c r="BP41" s="583"/>
      <c r="BQ41" s="578"/>
      <c r="BR41" s="579"/>
      <c r="BS41" s="567"/>
      <c r="BT41" s="581"/>
      <c r="BU41" s="709"/>
      <c r="BV41" s="567"/>
      <c r="BW41" s="579"/>
      <c r="BX41" s="579"/>
      <c r="BY41" s="579"/>
      <c r="BZ41" s="581"/>
      <c r="CA41" s="584"/>
      <c r="CB41" s="581"/>
      <c r="CC41" s="2267"/>
      <c r="CD41" s="578"/>
      <c r="CE41" s="579"/>
      <c r="CF41" s="579"/>
      <c r="CG41" s="585"/>
      <c r="CH41" s="579"/>
      <c r="CI41" s="579"/>
      <c r="CJ41" s="579"/>
      <c r="CK41" s="579"/>
      <c r="CL41" s="579"/>
      <c r="CM41" s="579"/>
      <c r="CN41" s="579"/>
      <c r="CO41" s="579"/>
      <c r="CP41" s="579"/>
      <c r="CQ41" s="579"/>
      <c r="CR41" s="579"/>
      <c r="CS41" s="579"/>
      <c r="CT41" s="579"/>
      <c r="CU41" s="579"/>
      <c r="CV41" s="579"/>
      <c r="CW41" s="579"/>
      <c r="CX41" s="579"/>
      <c r="CY41" s="579"/>
      <c r="CZ41" s="579"/>
      <c r="DA41" s="579"/>
      <c r="DB41" s="579"/>
      <c r="DC41" s="579"/>
      <c r="DD41" s="579"/>
      <c r="DE41" s="579"/>
      <c r="DF41" s="579"/>
      <c r="DG41" s="586"/>
      <c r="DH41" s="586"/>
      <c r="DI41" s="579"/>
      <c r="DJ41" s="586"/>
      <c r="DK41" s="596"/>
      <c r="DL41" s="586"/>
      <c r="DM41" s="586"/>
      <c r="DN41" s="586"/>
      <c r="DO41" s="586"/>
      <c r="DP41" s="586"/>
      <c r="DQ41" s="768"/>
      <c r="DR41" s="926"/>
      <c r="DS41" s="586"/>
      <c r="DT41" s="580"/>
      <c r="DU41" s="578"/>
      <c r="DV41" s="581"/>
      <c r="DW41" s="933"/>
      <c r="DX41" s="925"/>
      <c r="DY41" s="925"/>
      <c r="DZ41" s="925"/>
      <c r="EA41" s="925"/>
      <c r="EB41" s="925"/>
      <c r="EC41" s="925"/>
      <c r="ED41" s="586"/>
      <c r="EE41" s="768"/>
      <c r="EF41" s="584"/>
      <c r="EG41" s="581"/>
      <c r="EH41" s="919"/>
      <c r="EI41" s="925"/>
      <c r="EJ41" s="925"/>
      <c r="EK41" s="925"/>
      <c r="EL41" s="925"/>
      <c r="EM41" s="925"/>
      <c r="EN41" s="925"/>
      <c r="EO41" s="925"/>
      <c r="EP41" s="925"/>
      <c r="EQ41" s="925"/>
      <c r="ER41" s="925"/>
      <c r="ES41" s="925"/>
      <c r="ET41" s="925"/>
      <c r="EU41" s="925"/>
      <c r="EV41" s="925"/>
      <c r="EW41" s="925"/>
      <c r="EX41" s="586"/>
      <c r="EY41" s="925"/>
      <c r="EZ41" s="925"/>
      <c r="FA41" s="596"/>
      <c r="FB41" s="925"/>
      <c r="FC41" s="579"/>
      <c r="FD41" s="579"/>
      <c r="FE41" s="586"/>
      <c r="FF41" s="586"/>
      <c r="FG41" s="586"/>
      <c r="FH41" s="586"/>
      <c r="FI41" s="586"/>
      <c r="FJ41" s="586"/>
      <c r="FK41" s="586"/>
      <c r="FL41" s="586"/>
      <c r="FM41" s="586"/>
      <c r="FN41" s="586"/>
      <c r="FO41" s="586"/>
      <c r="FP41" s="586"/>
      <c r="FQ41" s="586"/>
      <c r="FR41" s="586"/>
      <c r="FS41" s="586"/>
      <c r="FT41" s="586"/>
      <c r="FU41" s="586"/>
      <c r="FV41" s="586"/>
      <c r="FW41" s="586"/>
      <c r="FX41" s="586"/>
      <c r="FY41" s="586"/>
      <c r="FZ41" s="586"/>
      <c r="GA41" s="586"/>
      <c r="GB41" s="586"/>
      <c r="GC41" s="586"/>
      <c r="GD41" s="586"/>
      <c r="GE41" s="586"/>
      <c r="GF41" s="586"/>
      <c r="GG41" s="586"/>
      <c r="GH41" s="937"/>
      <c r="GI41" s="937"/>
      <c r="GJ41" s="807"/>
      <c r="GK41" s="937"/>
      <c r="GL41" s="937"/>
      <c r="GM41" s="590"/>
      <c r="GN41" s="586"/>
      <c r="GO41" s="586"/>
      <c r="GP41" s="586"/>
      <c r="GQ41" s="586"/>
      <c r="GR41" s="586"/>
      <c r="GS41" s="586"/>
      <c r="GT41" s="586"/>
      <c r="GU41" s="586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586"/>
      <c r="HG41" s="586"/>
      <c r="HH41" s="586"/>
      <c r="HI41" s="586"/>
      <c r="HJ41" s="586"/>
      <c r="HK41" s="586"/>
      <c r="HL41" s="586"/>
      <c r="HM41" s="586"/>
      <c r="HN41" s="586"/>
      <c r="HO41" s="586"/>
      <c r="HP41" s="586"/>
      <c r="HQ41" s="586"/>
      <c r="HR41" s="586"/>
      <c r="HS41" s="586"/>
      <c r="HT41" s="586"/>
      <c r="HU41" s="586"/>
      <c r="HV41" s="586"/>
      <c r="HW41" s="586"/>
      <c r="HX41" s="586"/>
      <c r="HY41" s="586"/>
      <c r="HZ41" s="586"/>
      <c r="IA41" s="586"/>
      <c r="IB41" s="586"/>
      <c r="IC41" s="586"/>
      <c r="ID41" s="586"/>
      <c r="IE41" s="586"/>
      <c r="IF41" s="586"/>
      <c r="IG41" s="586"/>
      <c r="IH41" s="586"/>
      <c r="II41" s="586"/>
      <c r="IJ41" s="586"/>
      <c r="IK41" s="586"/>
      <c r="IL41" s="937"/>
      <c r="IM41" s="919"/>
      <c r="IN41" s="586"/>
      <c r="IO41" s="586"/>
      <c r="IP41" s="586"/>
      <c r="IQ41" s="587"/>
      <c r="IR41" s="587"/>
      <c r="IS41" s="587"/>
      <c r="IT41" s="587"/>
      <c r="IU41" s="587"/>
      <c r="IV41" s="587"/>
      <c r="IW41" s="587"/>
      <c r="IX41" s="587"/>
      <c r="IY41" s="587"/>
      <c r="IZ41" s="587"/>
      <c r="JA41" s="587"/>
      <c r="JB41" s="587"/>
      <c r="JC41" s="587"/>
      <c r="JD41" s="587"/>
      <c r="JE41" s="587"/>
      <c r="JF41" s="587"/>
      <c r="JG41" s="587"/>
      <c r="JH41" s="588"/>
      <c r="JI41" s="589"/>
      <c r="JJ41" s="587"/>
      <c r="JK41" s="587"/>
      <c r="JL41" s="587"/>
      <c r="JM41" s="589"/>
      <c r="JN41" s="590"/>
      <c r="JO41" s="589"/>
      <c r="JP41" s="591"/>
      <c r="JQ41" s="591"/>
      <c r="JR41" s="591"/>
      <c r="JS41" s="591"/>
      <c r="JT41" s="591"/>
      <c r="JU41" s="591"/>
      <c r="JV41" s="591"/>
      <c r="JW41" s="591"/>
      <c r="JX41" s="591"/>
      <c r="JY41" s="591"/>
      <c r="JZ41" s="591"/>
      <c r="KA41" s="591"/>
      <c r="KB41" s="591"/>
      <c r="KC41" s="591"/>
      <c r="KD41" s="592"/>
      <c r="KE41" s="592"/>
      <c r="KF41" s="1071"/>
      <c r="KI41" s="593"/>
    </row>
    <row r="42" spans="1:295" s="49" customFormat="1" ht="15.75" hidden="1" customHeight="1" x14ac:dyDescent="0.25">
      <c r="A42" s="560"/>
      <c r="B42" s="597"/>
      <c r="C42" s="804"/>
      <c r="D42" s="802"/>
      <c r="E42" s="2267"/>
      <c r="F42" s="561"/>
      <c r="G42" s="562"/>
      <c r="H42" s="563"/>
      <c r="I42" s="562"/>
      <c r="J42" s="562"/>
      <c r="K42" s="562"/>
      <c r="L42" s="564"/>
      <c r="M42" s="564"/>
      <c r="N42" s="565"/>
      <c r="O42" s="564"/>
      <c r="P42" s="564"/>
      <c r="Q42" s="566"/>
      <c r="R42" s="566"/>
      <c r="S42" s="564"/>
      <c r="T42" s="564"/>
      <c r="U42" s="564"/>
      <c r="V42" s="567"/>
      <c r="W42" s="2267"/>
      <c r="X42" s="568"/>
      <c r="Y42" s="568"/>
      <c r="Z42" s="568"/>
      <c r="AA42" s="568"/>
      <c r="AB42" s="568"/>
      <c r="AC42" s="569"/>
      <c r="AD42" s="570"/>
      <c r="AE42" s="598">
        <f>6.09*X42/100</f>
        <v>0</v>
      </c>
      <c r="AF42" s="654">
        <f>17.08*X42/100</f>
        <v>0</v>
      </c>
      <c r="AG42" s="655">
        <f>30.09*X42/100</f>
        <v>0</v>
      </c>
      <c r="AH42" s="658"/>
      <c r="AI42" s="658"/>
      <c r="AJ42" s="658"/>
      <c r="AK42" s="658"/>
      <c r="AL42" s="658"/>
      <c r="AM42" s="659">
        <f>12.64*X42/100</f>
        <v>0</v>
      </c>
      <c r="AN42" s="594">
        <f>9.29*X42/100</f>
        <v>0</v>
      </c>
      <c r="AO42" s="574"/>
      <c r="AP42" s="572"/>
      <c r="AQ42" s="602"/>
      <c r="AR42" s="576"/>
      <c r="AS42" s="577"/>
      <c r="AT42" s="2285"/>
      <c r="AU42" s="584"/>
      <c r="AV42" s="578"/>
      <c r="AW42" s="579"/>
      <c r="AX42" s="580"/>
      <c r="AY42" s="579"/>
      <c r="AZ42" s="579"/>
      <c r="BA42" s="579"/>
      <c r="BB42" s="579"/>
      <c r="BC42" s="580"/>
      <c r="BD42" s="579"/>
      <c r="BE42" s="585"/>
      <c r="BF42" s="585"/>
      <c r="BG42" s="579"/>
      <c r="BH42" s="581"/>
      <c r="BI42" s="1291"/>
      <c r="BJ42" s="566"/>
      <c r="BK42" s="566"/>
      <c r="BL42" s="583"/>
      <c r="BM42" s="582"/>
      <c r="BN42" s="566"/>
      <c r="BO42" s="566"/>
      <c r="BP42" s="583"/>
      <c r="BQ42" s="578"/>
      <c r="BR42" s="579"/>
      <c r="BS42" s="567"/>
      <c r="BT42" s="581"/>
      <c r="BU42" s="709"/>
      <c r="BV42" s="567"/>
      <c r="BW42" s="579"/>
      <c r="BX42" s="579"/>
      <c r="BY42" s="579"/>
      <c r="BZ42" s="581"/>
      <c r="CA42" s="584"/>
      <c r="CB42" s="581"/>
      <c r="CC42" s="2267"/>
      <c r="CD42" s="578"/>
      <c r="CE42" s="579"/>
      <c r="CF42" s="579"/>
      <c r="CG42" s="585"/>
      <c r="CH42" s="579"/>
      <c r="CI42" s="579"/>
      <c r="CJ42" s="579"/>
      <c r="CK42" s="579"/>
      <c r="CL42" s="579"/>
      <c r="CM42" s="579"/>
      <c r="CN42" s="579"/>
      <c r="CO42" s="579"/>
      <c r="CP42" s="579"/>
      <c r="CQ42" s="579"/>
      <c r="CR42" s="579"/>
      <c r="CS42" s="579"/>
      <c r="CT42" s="579"/>
      <c r="CU42" s="579"/>
      <c r="CV42" s="579"/>
      <c r="CW42" s="579"/>
      <c r="CX42" s="579"/>
      <c r="CY42" s="579"/>
      <c r="CZ42" s="579"/>
      <c r="DA42" s="579"/>
      <c r="DB42" s="579"/>
      <c r="DC42" s="579"/>
      <c r="DD42" s="579"/>
      <c r="DE42" s="579"/>
      <c r="DF42" s="579"/>
      <c r="DG42" s="586"/>
      <c r="DH42" s="586"/>
      <c r="DI42" s="579"/>
      <c r="DJ42" s="586"/>
      <c r="DK42" s="596"/>
      <c r="DL42" s="586"/>
      <c r="DM42" s="586"/>
      <c r="DN42" s="586"/>
      <c r="DO42" s="586"/>
      <c r="DP42" s="586"/>
      <c r="DQ42" s="768"/>
      <c r="DR42" s="926"/>
      <c r="DS42" s="586"/>
      <c r="DT42" s="580"/>
      <c r="DU42" s="578"/>
      <c r="DV42" s="581"/>
      <c r="DW42" s="933"/>
      <c r="DX42" s="925"/>
      <c r="DY42" s="925"/>
      <c r="DZ42" s="925"/>
      <c r="EA42" s="925"/>
      <c r="EB42" s="925"/>
      <c r="EC42" s="925"/>
      <c r="ED42" s="586"/>
      <c r="EE42" s="768"/>
      <c r="EF42" s="584"/>
      <c r="EG42" s="581"/>
      <c r="EH42" s="919"/>
      <c r="EI42" s="925"/>
      <c r="EJ42" s="925"/>
      <c r="EK42" s="925"/>
      <c r="EL42" s="925"/>
      <c r="EM42" s="925"/>
      <c r="EN42" s="925"/>
      <c r="EO42" s="925"/>
      <c r="EP42" s="925"/>
      <c r="EQ42" s="925"/>
      <c r="ER42" s="925"/>
      <c r="ES42" s="925"/>
      <c r="ET42" s="925"/>
      <c r="EU42" s="925"/>
      <c r="EV42" s="925"/>
      <c r="EW42" s="925"/>
      <c r="EX42" s="586"/>
      <c r="EY42" s="925"/>
      <c r="EZ42" s="925"/>
      <c r="FA42" s="596"/>
      <c r="FB42" s="925"/>
      <c r="FC42" s="579"/>
      <c r="FD42" s="579"/>
      <c r="FE42" s="586"/>
      <c r="FF42" s="586"/>
      <c r="FG42" s="586"/>
      <c r="FH42" s="586"/>
      <c r="FI42" s="586"/>
      <c r="FJ42" s="586"/>
      <c r="FK42" s="586"/>
      <c r="FL42" s="586"/>
      <c r="FM42" s="586"/>
      <c r="FN42" s="586"/>
      <c r="FO42" s="586"/>
      <c r="FP42" s="586"/>
      <c r="FQ42" s="586"/>
      <c r="FR42" s="586"/>
      <c r="FS42" s="586"/>
      <c r="FT42" s="586"/>
      <c r="FU42" s="586"/>
      <c r="FV42" s="586"/>
      <c r="FW42" s="586"/>
      <c r="FX42" s="586"/>
      <c r="FY42" s="586"/>
      <c r="FZ42" s="586"/>
      <c r="GA42" s="586"/>
      <c r="GB42" s="586"/>
      <c r="GC42" s="586"/>
      <c r="GD42" s="586"/>
      <c r="GE42" s="586"/>
      <c r="GF42" s="586"/>
      <c r="GG42" s="586"/>
      <c r="GH42" s="937"/>
      <c r="GI42" s="937"/>
      <c r="GJ42" s="807"/>
      <c r="GK42" s="937"/>
      <c r="GL42" s="937"/>
      <c r="GM42" s="590"/>
      <c r="GN42" s="586"/>
      <c r="GO42" s="586"/>
      <c r="GP42" s="586"/>
      <c r="GQ42" s="586"/>
      <c r="GR42" s="586"/>
      <c r="GS42" s="586"/>
      <c r="GT42" s="586"/>
      <c r="GU42" s="586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586"/>
      <c r="HG42" s="586"/>
      <c r="HH42" s="586"/>
      <c r="HI42" s="586"/>
      <c r="HJ42" s="586"/>
      <c r="HK42" s="586"/>
      <c r="HL42" s="586"/>
      <c r="HM42" s="586"/>
      <c r="HN42" s="586"/>
      <c r="HO42" s="586"/>
      <c r="HP42" s="586"/>
      <c r="HQ42" s="586"/>
      <c r="HR42" s="586"/>
      <c r="HS42" s="586"/>
      <c r="HT42" s="586"/>
      <c r="HU42" s="586"/>
      <c r="HV42" s="586"/>
      <c r="HW42" s="586"/>
      <c r="HX42" s="586"/>
      <c r="HY42" s="586"/>
      <c r="HZ42" s="586"/>
      <c r="IA42" s="586"/>
      <c r="IB42" s="586"/>
      <c r="IC42" s="586"/>
      <c r="ID42" s="586"/>
      <c r="IE42" s="586"/>
      <c r="IF42" s="586"/>
      <c r="IG42" s="586"/>
      <c r="IH42" s="586"/>
      <c r="II42" s="586"/>
      <c r="IJ42" s="586"/>
      <c r="IK42" s="586"/>
      <c r="IL42" s="937"/>
      <c r="IM42" s="919"/>
      <c r="IN42" s="586"/>
      <c r="IO42" s="586"/>
      <c r="IP42" s="586"/>
      <c r="IQ42" s="587"/>
      <c r="IR42" s="587"/>
      <c r="IS42" s="587"/>
      <c r="IT42" s="587"/>
      <c r="IU42" s="587"/>
      <c r="IV42" s="587"/>
      <c r="IW42" s="587"/>
      <c r="IX42" s="587"/>
      <c r="IY42" s="587"/>
      <c r="IZ42" s="587"/>
      <c r="JA42" s="587"/>
      <c r="JB42" s="587"/>
      <c r="JC42" s="587"/>
      <c r="JD42" s="587"/>
      <c r="JE42" s="587"/>
      <c r="JF42" s="587"/>
      <c r="JG42" s="587"/>
      <c r="JH42" s="588"/>
      <c r="JI42" s="589"/>
      <c r="JJ42" s="587"/>
      <c r="JK42" s="587"/>
      <c r="JL42" s="587"/>
      <c r="JM42" s="589"/>
      <c r="JN42" s="590"/>
      <c r="JO42" s="589"/>
      <c r="JP42" s="591"/>
      <c r="JQ42" s="591"/>
      <c r="JR42" s="591"/>
      <c r="JS42" s="591"/>
      <c r="JT42" s="591"/>
      <c r="JU42" s="591"/>
      <c r="JV42" s="591"/>
      <c r="JW42" s="591"/>
      <c r="JX42" s="591"/>
      <c r="JY42" s="591"/>
      <c r="JZ42" s="591"/>
      <c r="KA42" s="591"/>
      <c r="KB42" s="591"/>
      <c r="KC42" s="591"/>
      <c r="KD42" s="592"/>
      <c r="KE42" s="592"/>
      <c r="KF42" s="1071"/>
      <c r="KI42" s="593"/>
    </row>
    <row r="43" spans="1:295" s="49" customFormat="1" ht="18" hidden="1" customHeight="1" x14ac:dyDescent="0.25">
      <c r="A43" s="560"/>
      <c r="B43" s="606"/>
      <c r="C43" s="804"/>
      <c r="D43" s="802">
        <f>C43</f>
        <v>0</v>
      </c>
      <c r="E43" s="2267"/>
      <c r="F43" s="561"/>
      <c r="G43" s="562"/>
      <c r="H43" s="563"/>
      <c r="I43" s="562"/>
      <c r="J43" s="562"/>
      <c r="K43" s="562"/>
      <c r="L43" s="564"/>
      <c r="M43" s="564"/>
      <c r="N43" s="565"/>
      <c r="O43" s="564"/>
      <c r="P43" s="564"/>
      <c r="Q43" s="566"/>
      <c r="R43" s="566"/>
      <c r="S43" s="564"/>
      <c r="T43" s="564"/>
      <c r="U43" s="564"/>
      <c r="V43" s="567"/>
      <c r="W43" s="2267"/>
      <c r="X43" s="568"/>
      <c r="Y43" s="568"/>
      <c r="Z43" s="568"/>
      <c r="AA43" s="568"/>
      <c r="AB43" s="568"/>
      <c r="AC43" s="569"/>
      <c r="AD43" s="570"/>
      <c r="AE43" s="598"/>
      <c r="AF43" s="654"/>
      <c r="AG43" s="655"/>
      <c r="AH43" s="658"/>
      <c r="AI43" s="658"/>
      <c r="AJ43" s="658"/>
      <c r="AK43" s="658"/>
      <c r="AL43" s="658"/>
      <c r="AM43" s="659"/>
      <c r="AN43" s="594"/>
      <c r="AO43" s="574"/>
      <c r="AP43" s="572"/>
      <c r="AQ43" s="602"/>
      <c r="AR43" s="576"/>
      <c r="AS43" s="577"/>
      <c r="AT43" s="2285"/>
      <c r="AU43" s="584"/>
      <c r="AV43" s="578"/>
      <c r="AW43" s="579"/>
      <c r="AX43" s="580"/>
      <c r="AY43" s="579"/>
      <c r="AZ43" s="579"/>
      <c r="BA43" s="579"/>
      <c r="BB43" s="579"/>
      <c r="BC43" s="580"/>
      <c r="BD43" s="579"/>
      <c r="BE43" s="585"/>
      <c r="BF43" s="585"/>
      <c r="BG43" s="579"/>
      <c r="BH43" s="581"/>
      <c r="BI43" s="1291"/>
      <c r="BJ43" s="566"/>
      <c r="BK43" s="566"/>
      <c r="BL43" s="583"/>
      <c r="BM43" s="582"/>
      <c r="BN43" s="566"/>
      <c r="BO43" s="566"/>
      <c r="BP43" s="583"/>
      <c r="BQ43" s="578"/>
      <c r="BR43" s="579"/>
      <c r="BS43" s="567"/>
      <c r="BT43" s="581"/>
      <c r="BU43" s="709"/>
      <c r="BV43" s="567"/>
      <c r="BW43" s="579"/>
      <c r="BX43" s="579"/>
      <c r="BY43" s="579"/>
      <c r="BZ43" s="581"/>
      <c r="CA43" s="584"/>
      <c r="CB43" s="581"/>
      <c r="CC43" s="2267"/>
      <c r="CD43" s="578"/>
      <c r="CE43" s="579"/>
      <c r="CF43" s="579"/>
      <c r="CG43" s="585"/>
      <c r="CH43" s="579"/>
      <c r="CI43" s="579"/>
      <c r="CJ43" s="579"/>
      <c r="CK43" s="579"/>
      <c r="CL43" s="579"/>
      <c r="CM43" s="579"/>
      <c r="CN43" s="579"/>
      <c r="CO43" s="579"/>
      <c r="CP43" s="579"/>
      <c r="CQ43" s="579"/>
      <c r="CR43" s="579"/>
      <c r="CS43" s="579"/>
      <c r="CT43" s="579"/>
      <c r="CU43" s="579"/>
      <c r="CV43" s="579"/>
      <c r="CW43" s="579"/>
      <c r="CX43" s="579"/>
      <c r="CY43" s="579"/>
      <c r="CZ43" s="579"/>
      <c r="DA43" s="579"/>
      <c r="DB43" s="579"/>
      <c r="DC43" s="579"/>
      <c r="DD43" s="579"/>
      <c r="DE43" s="579"/>
      <c r="DF43" s="579"/>
      <c r="DG43" s="586"/>
      <c r="DH43" s="586"/>
      <c r="DI43" s="579"/>
      <c r="DJ43" s="586"/>
      <c r="DK43" s="596"/>
      <c r="DL43" s="586"/>
      <c r="DM43" s="586"/>
      <c r="DN43" s="586"/>
      <c r="DO43" s="586"/>
      <c r="DP43" s="586"/>
      <c r="DQ43" s="768"/>
      <c r="DR43" s="926"/>
      <c r="DS43" s="586"/>
      <c r="DT43" s="580"/>
      <c r="DU43" s="578"/>
      <c r="DV43" s="581"/>
      <c r="DW43" s="933"/>
      <c r="DX43" s="925"/>
      <c r="DY43" s="925"/>
      <c r="DZ43" s="925"/>
      <c r="EA43" s="925"/>
      <c r="EB43" s="925"/>
      <c r="EC43" s="925"/>
      <c r="ED43" s="586"/>
      <c r="EE43" s="768"/>
      <c r="EF43" s="584"/>
      <c r="EG43" s="581"/>
      <c r="EH43" s="919"/>
      <c r="EI43" s="925"/>
      <c r="EJ43" s="925"/>
      <c r="EK43" s="925"/>
      <c r="EL43" s="925"/>
      <c r="EM43" s="925"/>
      <c r="EN43" s="925"/>
      <c r="EO43" s="925"/>
      <c r="EP43" s="925"/>
      <c r="EQ43" s="925"/>
      <c r="ER43" s="925"/>
      <c r="ES43" s="925"/>
      <c r="ET43" s="925"/>
      <c r="EU43" s="925"/>
      <c r="EV43" s="925"/>
      <c r="EW43" s="925"/>
      <c r="EX43" s="586"/>
      <c r="EY43" s="925"/>
      <c r="EZ43" s="925"/>
      <c r="FA43" s="596"/>
      <c r="FB43" s="925"/>
      <c r="FC43" s="579"/>
      <c r="FD43" s="579"/>
      <c r="FE43" s="586"/>
      <c r="FF43" s="586"/>
      <c r="FG43" s="586"/>
      <c r="FH43" s="586"/>
      <c r="FI43" s="586"/>
      <c r="FJ43" s="586"/>
      <c r="FK43" s="586"/>
      <c r="FL43" s="586"/>
      <c r="FM43" s="586"/>
      <c r="FN43" s="586"/>
      <c r="FO43" s="586"/>
      <c r="FP43" s="586"/>
      <c r="FQ43" s="586"/>
      <c r="FR43" s="586"/>
      <c r="FS43" s="586"/>
      <c r="FT43" s="586"/>
      <c r="FU43" s="586"/>
      <c r="FV43" s="586"/>
      <c r="FW43" s="586"/>
      <c r="FX43" s="586"/>
      <c r="FY43" s="586"/>
      <c r="FZ43" s="586"/>
      <c r="GA43" s="586"/>
      <c r="GB43" s="586"/>
      <c r="GC43" s="586"/>
      <c r="GD43" s="586"/>
      <c r="GE43" s="586"/>
      <c r="GF43" s="586"/>
      <c r="GG43" s="586"/>
      <c r="GH43" s="937"/>
      <c r="GI43" s="937"/>
      <c r="GJ43" s="807"/>
      <c r="GK43" s="937"/>
      <c r="GL43" s="937"/>
      <c r="GM43" s="590"/>
      <c r="GN43" s="586"/>
      <c r="GO43" s="586"/>
      <c r="GP43" s="586"/>
      <c r="GQ43" s="586"/>
      <c r="GR43" s="586"/>
      <c r="GS43" s="586"/>
      <c r="GT43" s="586"/>
      <c r="GU43" s="586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586"/>
      <c r="HG43" s="586"/>
      <c r="HH43" s="586"/>
      <c r="HI43" s="586"/>
      <c r="HJ43" s="586"/>
      <c r="HK43" s="586"/>
      <c r="HL43" s="586"/>
      <c r="HM43" s="586"/>
      <c r="HN43" s="586"/>
      <c r="HO43" s="586"/>
      <c r="HP43" s="586"/>
      <c r="HQ43" s="586"/>
      <c r="HR43" s="586"/>
      <c r="HS43" s="586"/>
      <c r="HT43" s="586"/>
      <c r="HU43" s="586"/>
      <c r="HV43" s="586"/>
      <c r="HW43" s="586"/>
      <c r="HX43" s="586"/>
      <c r="HY43" s="586"/>
      <c r="HZ43" s="586"/>
      <c r="IA43" s="586"/>
      <c r="IB43" s="586"/>
      <c r="IC43" s="586"/>
      <c r="ID43" s="586"/>
      <c r="IE43" s="586"/>
      <c r="IF43" s="586"/>
      <c r="IG43" s="586"/>
      <c r="IH43" s="586"/>
      <c r="II43" s="586"/>
      <c r="IJ43" s="586"/>
      <c r="IK43" s="586"/>
      <c r="IL43" s="937"/>
      <c r="IM43" s="919"/>
      <c r="IN43" s="586"/>
      <c r="IO43" s="586"/>
      <c r="IP43" s="586"/>
      <c r="IQ43" s="587"/>
      <c r="IR43" s="587"/>
      <c r="IS43" s="587"/>
      <c r="IT43" s="587"/>
      <c r="IU43" s="587"/>
      <c r="IV43" s="587"/>
      <c r="IW43" s="587"/>
      <c r="IX43" s="587"/>
      <c r="IY43" s="587"/>
      <c r="IZ43" s="587"/>
      <c r="JA43" s="587"/>
      <c r="JB43" s="587"/>
      <c r="JC43" s="587"/>
      <c r="JD43" s="587"/>
      <c r="JE43" s="587"/>
      <c r="JF43" s="587"/>
      <c r="JG43" s="587"/>
      <c r="JH43" s="588"/>
      <c r="JI43" s="589"/>
      <c r="JJ43" s="587"/>
      <c r="JK43" s="587"/>
      <c r="JL43" s="587"/>
      <c r="JM43" s="589"/>
      <c r="JN43" s="590"/>
      <c r="JO43" s="589"/>
      <c r="JP43" s="591"/>
      <c r="JQ43" s="591"/>
      <c r="JR43" s="591"/>
      <c r="JS43" s="591"/>
      <c r="JT43" s="591"/>
      <c r="JU43" s="591"/>
      <c r="JV43" s="591"/>
      <c r="JW43" s="591"/>
      <c r="JX43" s="591"/>
      <c r="JY43" s="591"/>
      <c r="JZ43" s="591"/>
      <c r="KA43" s="591"/>
      <c r="KB43" s="591"/>
      <c r="KC43" s="591"/>
      <c r="KD43" s="592"/>
      <c r="KE43" s="592"/>
      <c r="KF43" s="1071"/>
      <c r="KI43" s="593"/>
    </row>
    <row r="44" spans="1:295" s="49" customFormat="1" ht="17.25" hidden="1" customHeight="1" x14ac:dyDescent="0.25">
      <c r="A44" s="560"/>
      <c r="B44" s="605"/>
      <c r="C44" s="804"/>
      <c r="D44" s="802"/>
      <c r="E44" s="2267"/>
      <c r="F44" s="561"/>
      <c r="G44" s="562"/>
      <c r="H44" s="563"/>
      <c r="I44" s="562"/>
      <c r="J44" s="562"/>
      <c r="K44" s="562"/>
      <c r="L44" s="564"/>
      <c r="M44" s="564"/>
      <c r="N44" s="565"/>
      <c r="O44" s="564"/>
      <c r="P44" s="564"/>
      <c r="Q44" s="566"/>
      <c r="R44" s="566"/>
      <c r="S44" s="564"/>
      <c r="T44" s="564"/>
      <c r="U44" s="564"/>
      <c r="V44" s="567"/>
      <c r="W44" s="2267"/>
      <c r="X44" s="568"/>
      <c r="Y44" s="568"/>
      <c r="Z44" s="568"/>
      <c r="AA44" s="568"/>
      <c r="AB44" s="568"/>
      <c r="AC44" s="569"/>
      <c r="AD44" s="570"/>
      <c r="AE44" s="598">
        <f>6.1*X44/100</f>
        <v>0</v>
      </c>
      <c r="AF44" s="654"/>
      <c r="AG44" s="655"/>
      <c r="AH44" s="658"/>
      <c r="AI44" s="658"/>
      <c r="AJ44" s="658">
        <f>24.16*X44/100</f>
        <v>0</v>
      </c>
      <c r="AK44" s="658"/>
      <c r="AL44" s="658"/>
      <c r="AM44" s="659">
        <f>41.52*X44/100</f>
        <v>0</v>
      </c>
      <c r="AN44" s="594"/>
      <c r="AO44" s="574"/>
      <c r="AP44" s="572"/>
      <c r="AQ44" s="575"/>
      <c r="AR44" s="576"/>
      <c r="AS44" s="577"/>
      <c r="AT44" s="2285"/>
      <c r="AU44" s="584"/>
      <c r="AV44" s="578"/>
      <c r="AW44" s="579"/>
      <c r="AX44" s="580"/>
      <c r="AY44" s="579"/>
      <c r="AZ44" s="579"/>
      <c r="BA44" s="579"/>
      <c r="BB44" s="579"/>
      <c r="BC44" s="580"/>
      <c r="BD44" s="579"/>
      <c r="BE44" s="585"/>
      <c r="BF44" s="585"/>
      <c r="BG44" s="579"/>
      <c r="BH44" s="581"/>
      <c r="BI44" s="1291"/>
      <c r="BJ44" s="566"/>
      <c r="BK44" s="566"/>
      <c r="BL44" s="583"/>
      <c r="BM44" s="582"/>
      <c r="BN44" s="566"/>
      <c r="BO44" s="566"/>
      <c r="BP44" s="583"/>
      <c r="BQ44" s="578"/>
      <c r="BR44" s="579"/>
      <c r="BS44" s="567"/>
      <c r="BT44" s="581"/>
      <c r="BU44" s="709"/>
      <c r="BV44" s="567"/>
      <c r="BW44" s="579"/>
      <c r="BX44" s="579"/>
      <c r="BY44" s="579"/>
      <c r="BZ44" s="581"/>
      <c r="CA44" s="584"/>
      <c r="CB44" s="581"/>
      <c r="CC44" s="2267"/>
      <c r="CD44" s="578"/>
      <c r="CE44" s="579"/>
      <c r="CF44" s="579"/>
      <c r="CG44" s="585"/>
      <c r="CH44" s="579"/>
      <c r="CI44" s="579"/>
      <c r="CJ44" s="579"/>
      <c r="CK44" s="579"/>
      <c r="CL44" s="579"/>
      <c r="CM44" s="579"/>
      <c r="CN44" s="579"/>
      <c r="CO44" s="579"/>
      <c r="CP44" s="579"/>
      <c r="CQ44" s="579"/>
      <c r="CR44" s="579"/>
      <c r="CS44" s="579"/>
      <c r="CT44" s="579"/>
      <c r="CU44" s="579"/>
      <c r="CV44" s="579"/>
      <c r="CW44" s="579"/>
      <c r="CX44" s="579"/>
      <c r="CY44" s="579"/>
      <c r="CZ44" s="579"/>
      <c r="DA44" s="579"/>
      <c r="DB44" s="579"/>
      <c r="DC44" s="579"/>
      <c r="DD44" s="579"/>
      <c r="DE44" s="579"/>
      <c r="DF44" s="579"/>
      <c r="DG44" s="586"/>
      <c r="DH44" s="586"/>
      <c r="DI44" s="579"/>
      <c r="DJ44" s="586"/>
      <c r="DK44" s="596"/>
      <c r="DL44" s="586"/>
      <c r="DM44" s="586"/>
      <c r="DN44" s="586"/>
      <c r="DO44" s="586"/>
      <c r="DP44" s="586"/>
      <c r="DQ44" s="768"/>
      <c r="DR44" s="926"/>
      <c r="DS44" s="586"/>
      <c r="DT44" s="580"/>
      <c r="DU44" s="578"/>
      <c r="DV44" s="581"/>
      <c r="DW44" s="933"/>
      <c r="DX44" s="925"/>
      <c r="DY44" s="925"/>
      <c r="DZ44" s="925"/>
      <c r="EA44" s="925"/>
      <c r="EB44" s="925"/>
      <c r="EC44" s="925"/>
      <c r="ED44" s="586"/>
      <c r="EE44" s="768"/>
      <c r="EF44" s="584"/>
      <c r="EG44" s="581"/>
      <c r="EH44" s="919"/>
      <c r="EI44" s="925"/>
      <c r="EJ44" s="925"/>
      <c r="EK44" s="925"/>
      <c r="EL44" s="925"/>
      <c r="EM44" s="925"/>
      <c r="EN44" s="925"/>
      <c r="EO44" s="925"/>
      <c r="EP44" s="925"/>
      <c r="EQ44" s="925"/>
      <c r="ER44" s="925"/>
      <c r="ES44" s="925"/>
      <c r="ET44" s="925"/>
      <c r="EU44" s="925"/>
      <c r="EV44" s="925"/>
      <c r="EW44" s="925"/>
      <c r="EX44" s="586"/>
      <c r="EY44" s="925"/>
      <c r="EZ44" s="925"/>
      <c r="FA44" s="596"/>
      <c r="FB44" s="925"/>
      <c r="FC44" s="579"/>
      <c r="FD44" s="579"/>
      <c r="FE44" s="586"/>
      <c r="FF44" s="586"/>
      <c r="FG44" s="586"/>
      <c r="FH44" s="586"/>
      <c r="FI44" s="586"/>
      <c r="FJ44" s="586"/>
      <c r="FK44" s="586"/>
      <c r="FL44" s="586"/>
      <c r="FM44" s="586"/>
      <c r="FN44" s="586"/>
      <c r="FO44" s="586"/>
      <c r="FP44" s="586"/>
      <c r="FQ44" s="586"/>
      <c r="FR44" s="586"/>
      <c r="FS44" s="586"/>
      <c r="FT44" s="586"/>
      <c r="FU44" s="586"/>
      <c r="FV44" s="586"/>
      <c r="FW44" s="586"/>
      <c r="FX44" s="586"/>
      <c r="FY44" s="586"/>
      <c r="FZ44" s="586"/>
      <c r="GA44" s="586"/>
      <c r="GB44" s="586"/>
      <c r="GC44" s="586"/>
      <c r="GD44" s="586"/>
      <c r="GE44" s="586"/>
      <c r="GF44" s="586"/>
      <c r="GG44" s="586"/>
      <c r="GH44" s="937"/>
      <c r="GI44" s="937"/>
      <c r="GJ44" s="807"/>
      <c r="GK44" s="937"/>
      <c r="GL44" s="937"/>
      <c r="GM44" s="590"/>
      <c r="GN44" s="586"/>
      <c r="GO44" s="586"/>
      <c r="GP44" s="586"/>
      <c r="GQ44" s="586"/>
      <c r="GR44" s="586"/>
      <c r="GS44" s="586"/>
      <c r="GT44" s="586"/>
      <c r="GU44" s="586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586"/>
      <c r="HG44" s="586"/>
      <c r="HH44" s="586"/>
      <c r="HI44" s="586"/>
      <c r="HJ44" s="586"/>
      <c r="HK44" s="586"/>
      <c r="HL44" s="586"/>
      <c r="HM44" s="586"/>
      <c r="HN44" s="586"/>
      <c r="HO44" s="586"/>
      <c r="HP44" s="586"/>
      <c r="HQ44" s="586"/>
      <c r="HR44" s="586"/>
      <c r="HS44" s="586"/>
      <c r="HT44" s="586"/>
      <c r="HU44" s="586"/>
      <c r="HV44" s="586"/>
      <c r="HW44" s="586"/>
      <c r="HX44" s="586"/>
      <c r="HY44" s="586"/>
      <c r="HZ44" s="586"/>
      <c r="IA44" s="586"/>
      <c r="IB44" s="586"/>
      <c r="IC44" s="586"/>
      <c r="ID44" s="586"/>
      <c r="IE44" s="586"/>
      <c r="IF44" s="586"/>
      <c r="IG44" s="586"/>
      <c r="IH44" s="586"/>
      <c r="II44" s="586"/>
      <c r="IJ44" s="586"/>
      <c r="IK44" s="586"/>
      <c r="IL44" s="937"/>
      <c r="IM44" s="919"/>
      <c r="IN44" s="586"/>
      <c r="IO44" s="586"/>
      <c r="IP44" s="586"/>
      <c r="IQ44" s="587"/>
      <c r="IR44" s="587"/>
      <c r="IS44" s="587"/>
      <c r="IT44" s="587"/>
      <c r="IU44" s="587"/>
      <c r="IV44" s="587"/>
      <c r="IW44" s="587"/>
      <c r="IX44" s="587"/>
      <c r="IY44" s="587"/>
      <c r="IZ44" s="587"/>
      <c r="JA44" s="587"/>
      <c r="JB44" s="587"/>
      <c r="JC44" s="587"/>
      <c r="JD44" s="587"/>
      <c r="JE44" s="587"/>
      <c r="JF44" s="587"/>
      <c r="JG44" s="587"/>
      <c r="JH44" s="588"/>
      <c r="JI44" s="589"/>
      <c r="JJ44" s="587"/>
      <c r="JK44" s="587"/>
      <c r="JL44" s="587"/>
      <c r="JM44" s="589"/>
      <c r="JN44" s="590"/>
      <c r="JO44" s="589"/>
      <c r="JP44" s="591"/>
      <c r="JQ44" s="591"/>
      <c r="JR44" s="591"/>
      <c r="JS44" s="591"/>
      <c r="JT44" s="591"/>
      <c r="JU44" s="591"/>
      <c r="JV44" s="591"/>
      <c r="JW44" s="591"/>
      <c r="JX44" s="591"/>
      <c r="JY44" s="591"/>
      <c r="JZ44" s="591"/>
      <c r="KA44" s="591"/>
      <c r="KB44" s="591"/>
      <c r="KC44" s="591"/>
      <c r="KD44" s="592"/>
      <c r="KE44" s="592"/>
      <c r="KF44" s="1071"/>
      <c r="KI44" s="593"/>
    </row>
    <row r="45" spans="1:295" s="49" customFormat="1" ht="17.25" hidden="1" customHeight="1" x14ac:dyDescent="0.25">
      <c r="A45" s="560"/>
      <c r="B45" s="605"/>
      <c r="C45" s="804"/>
      <c r="D45" s="802"/>
      <c r="E45" s="2267"/>
      <c r="F45" s="561"/>
      <c r="G45" s="562"/>
      <c r="H45" s="563"/>
      <c r="I45" s="562"/>
      <c r="J45" s="562"/>
      <c r="K45" s="562"/>
      <c r="L45" s="564"/>
      <c r="M45" s="564"/>
      <c r="N45" s="565"/>
      <c r="O45" s="564"/>
      <c r="P45" s="564"/>
      <c r="Q45" s="566"/>
      <c r="R45" s="566"/>
      <c r="S45" s="564"/>
      <c r="T45" s="564"/>
      <c r="U45" s="564"/>
      <c r="V45" s="567"/>
      <c r="W45" s="2267"/>
      <c r="X45" s="568"/>
      <c r="Y45" s="568"/>
      <c r="Z45" s="568"/>
      <c r="AA45" s="568"/>
      <c r="AB45" s="568"/>
      <c r="AC45" s="569"/>
      <c r="AD45" s="570"/>
      <c r="AE45" s="599">
        <f>X45*6.8/100</f>
        <v>0</v>
      </c>
      <c r="AF45" s="568"/>
      <c r="AG45" s="652"/>
      <c r="AH45" s="569"/>
      <c r="AI45" s="569"/>
      <c r="AJ45" s="569"/>
      <c r="AK45" s="569"/>
      <c r="AL45" s="569"/>
      <c r="AM45" s="653">
        <f>X45*63.4/100</f>
        <v>0</v>
      </c>
      <c r="AN45" s="594"/>
      <c r="AO45" s="574"/>
      <c r="AP45" s="572"/>
      <c r="AQ45" s="575"/>
      <c r="AR45" s="576"/>
      <c r="AS45" s="577"/>
      <c r="AT45" s="2285"/>
      <c r="AU45" s="584"/>
      <c r="AV45" s="578"/>
      <c r="AW45" s="579"/>
      <c r="AX45" s="580"/>
      <c r="AY45" s="579"/>
      <c r="AZ45" s="579"/>
      <c r="BA45" s="579"/>
      <c r="BB45" s="579"/>
      <c r="BC45" s="580"/>
      <c r="BD45" s="579"/>
      <c r="BE45" s="585"/>
      <c r="BF45" s="585"/>
      <c r="BG45" s="579"/>
      <c r="BH45" s="581"/>
      <c r="BI45" s="1291"/>
      <c r="BJ45" s="566"/>
      <c r="BK45" s="566"/>
      <c r="BL45" s="583"/>
      <c r="BM45" s="582"/>
      <c r="BN45" s="566"/>
      <c r="BO45" s="566"/>
      <c r="BP45" s="583"/>
      <c r="BQ45" s="578"/>
      <c r="BR45" s="579"/>
      <c r="BS45" s="567"/>
      <c r="BT45" s="581"/>
      <c r="BU45" s="709"/>
      <c r="BV45" s="567"/>
      <c r="BW45" s="579"/>
      <c r="BX45" s="579"/>
      <c r="BY45" s="579"/>
      <c r="BZ45" s="581"/>
      <c r="CA45" s="584"/>
      <c r="CB45" s="581"/>
      <c r="CC45" s="2267"/>
      <c r="CD45" s="578"/>
      <c r="CE45" s="579"/>
      <c r="CF45" s="579"/>
      <c r="CG45" s="585"/>
      <c r="CH45" s="579"/>
      <c r="CI45" s="579"/>
      <c r="CJ45" s="579"/>
      <c r="CK45" s="579"/>
      <c r="CL45" s="579"/>
      <c r="CM45" s="579"/>
      <c r="CN45" s="579"/>
      <c r="CO45" s="579"/>
      <c r="CP45" s="579"/>
      <c r="CQ45" s="579"/>
      <c r="CR45" s="579"/>
      <c r="CS45" s="579"/>
      <c r="CT45" s="579"/>
      <c r="CU45" s="579"/>
      <c r="CV45" s="579"/>
      <c r="CW45" s="579"/>
      <c r="CX45" s="579"/>
      <c r="CY45" s="579"/>
      <c r="CZ45" s="579"/>
      <c r="DA45" s="579"/>
      <c r="DB45" s="579"/>
      <c r="DC45" s="579"/>
      <c r="DD45" s="579"/>
      <c r="DE45" s="579"/>
      <c r="DF45" s="579"/>
      <c r="DG45" s="586"/>
      <c r="DH45" s="586"/>
      <c r="DI45" s="579"/>
      <c r="DJ45" s="586"/>
      <c r="DK45" s="596"/>
      <c r="DL45" s="586"/>
      <c r="DM45" s="586"/>
      <c r="DN45" s="586"/>
      <c r="DO45" s="586"/>
      <c r="DP45" s="586"/>
      <c r="DQ45" s="768"/>
      <c r="DR45" s="926"/>
      <c r="DS45" s="586"/>
      <c r="DT45" s="580"/>
      <c r="DU45" s="578"/>
      <c r="DV45" s="581"/>
      <c r="DW45" s="933"/>
      <c r="DX45" s="925"/>
      <c r="DY45" s="925"/>
      <c r="DZ45" s="925"/>
      <c r="EA45" s="925"/>
      <c r="EB45" s="925"/>
      <c r="EC45" s="925"/>
      <c r="ED45" s="586"/>
      <c r="EE45" s="768"/>
      <c r="EF45" s="584"/>
      <c r="EG45" s="581"/>
      <c r="EH45" s="919"/>
      <c r="EI45" s="925"/>
      <c r="EJ45" s="925"/>
      <c r="EK45" s="925"/>
      <c r="EL45" s="925"/>
      <c r="EM45" s="925"/>
      <c r="EN45" s="925"/>
      <c r="EO45" s="925"/>
      <c r="EP45" s="925"/>
      <c r="EQ45" s="925"/>
      <c r="ER45" s="925"/>
      <c r="ES45" s="925"/>
      <c r="ET45" s="925"/>
      <c r="EU45" s="925"/>
      <c r="EV45" s="925"/>
      <c r="EW45" s="925"/>
      <c r="EX45" s="586"/>
      <c r="EY45" s="925"/>
      <c r="EZ45" s="925"/>
      <c r="FA45" s="596"/>
      <c r="FB45" s="925"/>
      <c r="FC45" s="579"/>
      <c r="FD45" s="579"/>
      <c r="FE45" s="586"/>
      <c r="FF45" s="586"/>
      <c r="FG45" s="586"/>
      <c r="FH45" s="586"/>
      <c r="FI45" s="586"/>
      <c r="FJ45" s="586"/>
      <c r="FK45" s="586"/>
      <c r="FL45" s="586"/>
      <c r="FM45" s="586"/>
      <c r="FN45" s="586"/>
      <c r="FO45" s="586"/>
      <c r="FP45" s="586"/>
      <c r="FQ45" s="586"/>
      <c r="FR45" s="586"/>
      <c r="FS45" s="586"/>
      <c r="FT45" s="586"/>
      <c r="FU45" s="586"/>
      <c r="FV45" s="586"/>
      <c r="FW45" s="586"/>
      <c r="FX45" s="586"/>
      <c r="FY45" s="586"/>
      <c r="FZ45" s="586"/>
      <c r="GA45" s="586"/>
      <c r="GB45" s="586"/>
      <c r="GC45" s="586"/>
      <c r="GD45" s="586"/>
      <c r="GE45" s="586"/>
      <c r="GF45" s="586"/>
      <c r="GG45" s="586"/>
      <c r="GH45" s="937"/>
      <c r="GI45" s="937"/>
      <c r="GJ45" s="807"/>
      <c r="GK45" s="937"/>
      <c r="GL45" s="937"/>
      <c r="GM45" s="590"/>
      <c r="GN45" s="586"/>
      <c r="GO45" s="586"/>
      <c r="GP45" s="586"/>
      <c r="GQ45" s="586"/>
      <c r="GR45" s="586"/>
      <c r="GS45" s="586"/>
      <c r="GT45" s="586"/>
      <c r="GU45" s="586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586"/>
      <c r="HG45" s="586"/>
      <c r="HH45" s="586"/>
      <c r="HI45" s="586"/>
      <c r="HJ45" s="586"/>
      <c r="HK45" s="586"/>
      <c r="HL45" s="586"/>
      <c r="HM45" s="586"/>
      <c r="HN45" s="586"/>
      <c r="HO45" s="586"/>
      <c r="HP45" s="586"/>
      <c r="HQ45" s="586"/>
      <c r="HR45" s="586"/>
      <c r="HS45" s="586"/>
      <c r="HT45" s="586"/>
      <c r="HU45" s="586"/>
      <c r="HV45" s="586"/>
      <c r="HW45" s="586"/>
      <c r="HX45" s="586"/>
      <c r="HY45" s="586"/>
      <c r="HZ45" s="586"/>
      <c r="IA45" s="586"/>
      <c r="IB45" s="586"/>
      <c r="IC45" s="586"/>
      <c r="ID45" s="586"/>
      <c r="IE45" s="586"/>
      <c r="IF45" s="586"/>
      <c r="IG45" s="586"/>
      <c r="IH45" s="586"/>
      <c r="II45" s="586"/>
      <c r="IJ45" s="586"/>
      <c r="IK45" s="586"/>
      <c r="IL45" s="937"/>
      <c r="IM45" s="919"/>
      <c r="IN45" s="586"/>
      <c r="IO45" s="586"/>
      <c r="IP45" s="586"/>
      <c r="IQ45" s="587"/>
      <c r="IR45" s="587"/>
      <c r="IS45" s="587"/>
      <c r="IT45" s="587"/>
      <c r="IU45" s="587"/>
      <c r="IV45" s="587"/>
      <c r="IW45" s="587"/>
      <c r="IX45" s="587"/>
      <c r="IY45" s="587"/>
      <c r="IZ45" s="587"/>
      <c r="JA45" s="587"/>
      <c r="JB45" s="587"/>
      <c r="JC45" s="587"/>
      <c r="JD45" s="587"/>
      <c r="JE45" s="587"/>
      <c r="JF45" s="587"/>
      <c r="JG45" s="587"/>
      <c r="JH45" s="588"/>
      <c r="JI45" s="589"/>
      <c r="JJ45" s="587"/>
      <c r="JK45" s="587"/>
      <c r="JL45" s="587"/>
      <c r="JM45" s="589"/>
      <c r="JN45" s="590"/>
      <c r="JO45" s="589"/>
      <c r="JP45" s="591"/>
      <c r="JQ45" s="591"/>
      <c r="JR45" s="591"/>
      <c r="JS45" s="591"/>
      <c r="JT45" s="591"/>
      <c r="JU45" s="591"/>
      <c r="JV45" s="591"/>
      <c r="JW45" s="591"/>
      <c r="JX45" s="591"/>
      <c r="JY45" s="591"/>
      <c r="JZ45" s="591"/>
      <c r="KA45" s="591"/>
      <c r="KB45" s="591"/>
      <c r="KC45" s="591"/>
      <c r="KD45" s="592"/>
      <c r="KE45" s="592"/>
      <c r="KF45" s="1071"/>
      <c r="KI45" s="593"/>
    </row>
    <row r="46" spans="1:295" s="49" customFormat="1" ht="15.75" hidden="1" customHeight="1" x14ac:dyDescent="0.25">
      <c r="A46" s="560"/>
      <c r="B46" s="597"/>
      <c r="C46" s="804"/>
      <c r="D46" s="802"/>
      <c r="E46" s="2267"/>
      <c r="F46" s="561"/>
      <c r="G46" s="562"/>
      <c r="H46" s="563"/>
      <c r="I46" s="562"/>
      <c r="J46" s="562"/>
      <c r="K46" s="562"/>
      <c r="L46" s="564"/>
      <c r="M46" s="564"/>
      <c r="N46" s="565"/>
      <c r="O46" s="564"/>
      <c r="P46" s="564"/>
      <c r="Q46" s="566"/>
      <c r="R46" s="566"/>
      <c r="S46" s="564"/>
      <c r="T46" s="564"/>
      <c r="U46" s="564"/>
      <c r="V46" s="567"/>
      <c r="W46" s="2267"/>
      <c r="X46" s="568"/>
      <c r="Y46" s="568"/>
      <c r="Z46" s="568"/>
      <c r="AA46" s="568"/>
      <c r="AB46" s="568"/>
      <c r="AC46" s="569"/>
      <c r="AD46" s="570"/>
      <c r="AE46" s="599">
        <f>X46*4.1/100</f>
        <v>0</v>
      </c>
      <c r="AF46" s="568"/>
      <c r="AG46" s="652"/>
      <c r="AH46" s="569"/>
      <c r="AI46" s="569"/>
      <c r="AJ46" s="569">
        <f>X46*24.67/100</f>
        <v>0</v>
      </c>
      <c r="AK46" s="569">
        <f>X46*17.37/100</f>
        <v>0</v>
      </c>
      <c r="AL46" s="569"/>
      <c r="AM46" s="653">
        <f>X46*24.78/100</f>
        <v>0</v>
      </c>
      <c r="AN46" s="601">
        <f>X46*1.92/100</f>
        <v>0</v>
      </c>
      <c r="AO46" s="574"/>
      <c r="AP46" s="559"/>
      <c r="AQ46" s="602"/>
      <c r="AR46" s="576"/>
      <c r="AS46" s="577"/>
      <c r="AT46" s="2285"/>
      <c r="AU46" s="584"/>
      <c r="AV46" s="578"/>
      <c r="AW46" s="579"/>
      <c r="AX46" s="580"/>
      <c r="AY46" s="579"/>
      <c r="AZ46" s="579"/>
      <c r="BA46" s="579"/>
      <c r="BB46" s="579"/>
      <c r="BC46" s="580"/>
      <c r="BD46" s="579"/>
      <c r="BE46" s="585"/>
      <c r="BF46" s="585"/>
      <c r="BG46" s="579"/>
      <c r="BH46" s="581"/>
      <c r="BI46" s="1291"/>
      <c r="BJ46" s="566"/>
      <c r="BK46" s="566"/>
      <c r="BL46" s="583"/>
      <c r="BM46" s="582"/>
      <c r="BN46" s="566"/>
      <c r="BO46" s="566"/>
      <c r="BP46" s="583"/>
      <c r="BQ46" s="578"/>
      <c r="BR46" s="579"/>
      <c r="BS46" s="567"/>
      <c r="BT46" s="581"/>
      <c r="BU46" s="709"/>
      <c r="BV46" s="567"/>
      <c r="BW46" s="579"/>
      <c r="BX46" s="579"/>
      <c r="BY46" s="579"/>
      <c r="BZ46" s="581"/>
      <c r="CA46" s="584"/>
      <c r="CB46" s="581"/>
      <c r="CC46" s="2267"/>
      <c r="CD46" s="578"/>
      <c r="CE46" s="579"/>
      <c r="CF46" s="579"/>
      <c r="CG46" s="585"/>
      <c r="CH46" s="579"/>
      <c r="CI46" s="579"/>
      <c r="CJ46" s="579"/>
      <c r="CK46" s="579"/>
      <c r="CL46" s="579"/>
      <c r="CM46" s="579"/>
      <c r="CN46" s="579"/>
      <c r="CO46" s="579"/>
      <c r="CP46" s="579"/>
      <c r="CQ46" s="579"/>
      <c r="CR46" s="579"/>
      <c r="CS46" s="579"/>
      <c r="CT46" s="579"/>
      <c r="CU46" s="579"/>
      <c r="CV46" s="579"/>
      <c r="CW46" s="579"/>
      <c r="CX46" s="579"/>
      <c r="CY46" s="579"/>
      <c r="CZ46" s="579"/>
      <c r="DA46" s="579"/>
      <c r="DB46" s="579"/>
      <c r="DC46" s="579"/>
      <c r="DD46" s="579"/>
      <c r="DE46" s="579"/>
      <c r="DF46" s="579"/>
      <c r="DG46" s="586"/>
      <c r="DH46" s="586"/>
      <c r="DI46" s="579"/>
      <c r="DJ46" s="586"/>
      <c r="DK46" s="596"/>
      <c r="DL46" s="586"/>
      <c r="DM46" s="586"/>
      <c r="DN46" s="586"/>
      <c r="DO46" s="586"/>
      <c r="DP46" s="586"/>
      <c r="DQ46" s="768"/>
      <c r="DR46" s="926"/>
      <c r="DS46" s="586"/>
      <c r="DT46" s="580"/>
      <c r="DU46" s="578"/>
      <c r="DV46" s="581"/>
      <c r="DW46" s="933"/>
      <c r="DX46" s="925"/>
      <c r="DY46" s="925"/>
      <c r="DZ46" s="925"/>
      <c r="EA46" s="925"/>
      <c r="EB46" s="925"/>
      <c r="EC46" s="925"/>
      <c r="ED46" s="586"/>
      <c r="EE46" s="768"/>
      <c r="EF46" s="584"/>
      <c r="EG46" s="581"/>
      <c r="EH46" s="919"/>
      <c r="EI46" s="925"/>
      <c r="EJ46" s="925"/>
      <c r="EK46" s="925"/>
      <c r="EL46" s="925"/>
      <c r="EM46" s="925"/>
      <c r="EN46" s="925"/>
      <c r="EO46" s="925"/>
      <c r="EP46" s="925"/>
      <c r="EQ46" s="925"/>
      <c r="ER46" s="925"/>
      <c r="ES46" s="925"/>
      <c r="ET46" s="925"/>
      <c r="EU46" s="925"/>
      <c r="EV46" s="925"/>
      <c r="EW46" s="925"/>
      <c r="EX46" s="586"/>
      <c r="EY46" s="925"/>
      <c r="EZ46" s="925"/>
      <c r="FA46" s="596"/>
      <c r="FB46" s="925"/>
      <c r="FC46" s="579"/>
      <c r="FD46" s="579"/>
      <c r="FE46" s="586"/>
      <c r="FF46" s="586"/>
      <c r="FG46" s="586"/>
      <c r="FH46" s="586"/>
      <c r="FI46" s="586"/>
      <c r="FJ46" s="586"/>
      <c r="FK46" s="586"/>
      <c r="FL46" s="586"/>
      <c r="FM46" s="586"/>
      <c r="FN46" s="586"/>
      <c r="FO46" s="586"/>
      <c r="FP46" s="586"/>
      <c r="FQ46" s="586"/>
      <c r="FR46" s="586"/>
      <c r="FS46" s="586"/>
      <c r="FT46" s="586"/>
      <c r="FU46" s="586"/>
      <c r="FV46" s="586"/>
      <c r="FW46" s="586"/>
      <c r="FX46" s="586"/>
      <c r="FY46" s="586"/>
      <c r="FZ46" s="586"/>
      <c r="GA46" s="586"/>
      <c r="GB46" s="586"/>
      <c r="GC46" s="586"/>
      <c r="GD46" s="586"/>
      <c r="GE46" s="586"/>
      <c r="GF46" s="586"/>
      <c r="GG46" s="586"/>
      <c r="GH46" s="937"/>
      <c r="GI46" s="937"/>
      <c r="GJ46" s="807"/>
      <c r="GK46" s="937"/>
      <c r="GL46" s="937"/>
      <c r="GM46" s="590"/>
      <c r="GN46" s="586"/>
      <c r="GO46" s="586"/>
      <c r="GP46" s="586"/>
      <c r="GQ46" s="586"/>
      <c r="GR46" s="586"/>
      <c r="GS46" s="586"/>
      <c r="GT46" s="586"/>
      <c r="GU46" s="586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586"/>
      <c r="HG46" s="586"/>
      <c r="HH46" s="586"/>
      <c r="HI46" s="586"/>
      <c r="HJ46" s="586"/>
      <c r="HK46" s="586"/>
      <c r="HL46" s="586"/>
      <c r="HM46" s="586"/>
      <c r="HN46" s="586"/>
      <c r="HO46" s="586"/>
      <c r="HP46" s="586"/>
      <c r="HQ46" s="586"/>
      <c r="HR46" s="586"/>
      <c r="HS46" s="586"/>
      <c r="HT46" s="586"/>
      <c r="HU46" s="586"/>
      <c r="HV46" s="586"/>
      <c r="HW46" s="586"/>
      <c r="HX46" s="586"/>
      <c r="HY46" s="586"/>
      <c r="HZ46" s="586"/>
      <c r="IA46" s="586"/>
      <c r="IB46" s="586"/>
      <c r="IC46" s="586"/>
      <c r="ID46" s="586"/>
      <c r="IE46" s="586"/>
      <c r="IF46" s="586"/>
      <c r="IG46" s="586"/>
      <c r="IH46" s="586"/>
      <c r="II46" s="586"/>
      <c r="IJ46" s="586"/>
      <c r="IK46" s="586"/>
      <c r="IL46" s="937"/>
      <c r="IM46" s="919"/>
      <c r="IN46" s="586"/>
      <c r="IO46" s="586"/>
      <c r="IP46" s="586"/>
      <c r="IQ46" s="587"/>
      <c r="IR46" s="587"/>
      <c r="IS46" s="587"/>
      <c r="IT46" s="587"/>
      <c r="IU46" s="587"/>
      <c r="IV46" s="587"/>
      <c r="IW46" s="587"/>
      <c r="IX46" s="587"/>
      <c r="IY46" s="587"/>
      <c r="IZ46" s="587"/>
      <c r="JA46" s="587"/>
      <c r="JB46" s="587"/>
      <c r="JC46" s="587"/>
      <c r="JD46" s="587"/>
      <c r="JE46" s="587"/>
      <c r="JF46" s="587"/>
      <c r="JG46" s="587"/>
      <c r="JH46" s="588"/>
      <c r="JI46" s="589"/>
      <c r="JJ46" s="587"/>
      <c r="JK46" s="587"/>
      <c r="JL46" s="587"/>
      <c r="JM46" s="589"/>
      <c r="JN46" s="590"/>
      <c r="JO46" s="589"/>
      <c r="JP46" s="591"/>
      <c r="JQ46" s="591"/>
      <c r="JR46" s="591"/>
      <c r="JS46" s="591"/>
      <c r="JT46" s="591"/>
      <c r="JU46" s="591"/>
      <c r="JV46" s="591"/>
      <c r="JW46" s="591"/>
      <c r="JX46" s="591"/>
      <c r="JY46" s="591"/>
      <c r="JZ46" s="591"/>
      <c r="KA46" s="591"/>
      <c r="KB46" s="591"/>
      <c r="KC46" s="591"/>
      <c r="KD46" s="592"/>
      <c r="KE46" s="592"/>
      <c r="KF46" s="1071"/>
      <c r="KI46" s="593"/>
    </row>
    <row r="47" spans="1:295" s="49" customFormat="1" ht="18" hidden="1" customHeight="1" x14ac:dyDescent="0.25">
      <c r="A47" s="560"/>
      <c r="B47" s="606"/>
      <c r="C47" s="804"/>
      <c r="D47" s="802">
        <f>C47</f>
        <v>0</v>
      </c>
      <c r="E47" s="2267"/>
      <c r="F47" s="561"/>
      <c r="G47" s="562"/>
      <c r="H47" s="563"/>
      <c r="I47" s="562"/>
      <c r="J47" s="562"/>
      <c r="K47" s="562"/>
      <c r="L47" s="564"/>
      <c r="M47" s="564"/>
      <c r="N47" s="565"/>
      <c r="O47" s="564"/>
      <c r="P47" s="564"/>
      <c r="Q47" s="566"/>
      <c r="R47" s="566"/>
      <c r="S47" s="564"/>
      <c r="T47" s="564"/>
      <c r="U47" s="564"/>
      <c r="V47" s="567"/>
      <c r="W47" s="2267"/>
      <c r="X47" s="568"/>
      <c r="Y47" s="568"/>
      <c r="Z47" s="568"/>
      <c r="AA47" s="568"/>
      <c r="AB47" s="568"/>
      <c r="AC47" s="569"/>
      <c r="AD47" s="570"/>
      <c r="AE47" s="598"/>
      <c r="AF47" s="660"/>
      <c r="AG47" s="655"/>
      <c r="AH47" s="658"/>
      <c r="AI47" s="658"/>
      <c r="AJ47" s="658"/>
      <c r="AK47" s="658"/>
      <c r="AL47" s="658"/>
      <c r="AM47" s="659"/>
      <c r="AN47" s="594"/>
      <c r="AO47" s="574"/>
      <c r="AP47" s="572"/>
      <c r="AQ47" s="602"/>
      <c r="AR47" s="576"/>
      <c r="AS47" s="577"/>
      <c r="AT47" s="2285"/>
      <c r="AU47" s="584"/>
      <c r="AV47" s="578"/>
      <c r="AW47" s="579"/>
      <c r="AX47" s="580"/>
      <c r="AY47" s="579"/>
      <c r="AZ47" s="579"/>
      <c r="BA47" s="579"/>
      <c r="BB47" s="579"/>
      <c r="BC47" s="580"/>
      <c r="BD47" s="579"/>
      <c r="BE47" s="585"/>
      <c r="BF47" s="585"/>
      <c r="BG47" s="579"/>
      <c r="BH47" s="581"/>
      <c r="BI47" s="1291"/>
      <c r="BJ47" s="566"/>
      <c r="BK47" s="566"/>
      <c r="BL47" s="583"/>
      <c r="BM47" s="582"/>
      <c r="BN47" s="566"/>
      <c r="BO47" s="566"/>
      <c r="BP47" s="583"/>
      <c r="BQ47" s="578"/>
      <c r="BR47" s="579"/>
      <c r="BS47" s="567"/>
      <c r="BT47" s="581"/>
      <c r="BU47" s="709"/>
      <c r="BV47" s="567"/>
      <c r="BW47" s="579"/>
      <c r="BX47" s="579"/>
      <c r="BY47" s="579"/>
      <c r="BZ47" s="581"/>
      <c r="CA47" s="584"/>
      <c r="CB47" s="581"/>
      <c r="CC47" s="2267"/>
      <c r="CD47" s="578"/>
      <c r="CE47" s="579"/>
      <c r="CF47" s="579"/>
      <c r="CG47" s="585"/>
      <c r="CH47" s="579"/>
      <c r="CI47" s="579"/>
      <c r="CJ47" s="579"/>
      <c r="CK47" s="579"/>
      <c r="CL47" s="579"/>
      <c r="CM47" s="579"/>
      <c r="CN47" s="579"/>
      <c r="CO47" s="579"/>
      <c r="CP47" s="579"/>
      <c r="CQ47" s="579"/>
      <c r="CR47" s="579"/>
      <c r="CS47" s="579"/>
      <c r="CT47" s="579"/>
      <c r="CU47" s="579"/>
      <c r="CV47" s="579"/>
      <c r="CW47" s="579"/>
      <c r="CX47" s="579"/>
      <c r="CY47" s="579"/>
      <c r="CZ47" s="579"/>
      <c r="DA47" s="579"/>
      <c r="DB47" s="579"/>
      <c r="DC47" s="579"/>
      <c r="DD47" s="579"/>
      <c r="DE47" s="579"/>
      <c r="DF47" s="579"/>
      <c r="DG47" s="586"/>
      <c r="DH47" s="586"/>
      <c r="DI47" s="579"/>
      <c r="DJ47" s="586"/>
      <c r="DK47" s="596"/>
      <c r="DL47" s="586"/>
      <c r="DM47" s="586"/>
      <c r="DN47" s="586"/>
      <c r="DO47" s="586"/>
      <c r="DP47" s="586"/>
      <c r="DQ47" s="768"/>
      <c r="DR47" s="926"/>
      <c r="DS47" s="586"/>
      <c r="DT47" s="580"/>
      <c r="DU47" s="578"/>
      <c r="DV47" s="581"/>
      <c r="DW47" s="933"/>
      <c r="DX47" s="925"/>
      <c r="DY47" s="925"/>
      <c r="DZ47" s="925"/>
      <c r="EA47" s="925"/>
      <c r="EB47" s="925"/>
      <c r="EC47" s="925"/>
      <c r="ED47" s="586"/>
      <c r="EE47" s="768"/>
      <c r="EF47" s="584"/>
      <c r="EG47" s="581"/>
      <c r="EH47" s="919"/>
      <c r="EI47" s="925"/>
      <c r="EJ47" s="925"/>
      <c r="EK47" s="925"/>
      <c r="EL47" s="925"/>
      <c r="EM47" s="925"/>
      <c r="EN47" s="925"/>
      <c r="EO47" s="925"/>
      <c r="EP47" s="925"/>
      <c r="EQ47" s="925"/>
      <c r="ER47" s="925"/>
      <c r="ES47" s="925"/>
      <c r="ET47" s="925"/>
      <c r="EU47" s="925"/>
      <c r="EV47" s="925"/>
      <c r="EW47" s="925"/>
      <c r="EX47" s="586"/>
      <c r="EY47" s="925"/>
      <c r="EZ47" s="925"/>
      <c r="FA47" s="596"/>
      <c r="FB47" s="925"/>
      <c r="FC47" s="579"/>
      <c r="FD47" s="579"/>
      <c r="FE47" s="586"/>
      <c r="FF47" s="586"/>
      <c r="FG47" s="586"/>
      <c r="FH47" s="586"/>
      <c r="FI47" s="586"/>
      <c r="FJ47" s="586"/>
      <c r="FK47" s="586"/>
      <c r="FL47" s="586"/>
      <c r="FM47" s="586"/>
      <c r="FN47" s="586"/>
      <c r="FO47" s="586"/>
      <c r="FP47" s="586"/>
      <c r="FQ47" s="586"/>
      <c r="FR47" s="586"/>
      <c r="FS47" s="586"/>
      <c r="FT47" s="586"/>
      <c r="FU47" s="586"/>
      <c r="FV47" s="586"/>
      <c r="FW47" s="586"/>
      <c r="FX47" s="586"/>
      <c r="FY47" s="586"/>
      <c r="FZ47" s="586"/>
      <c r="GA47" s="586"/>
      <c r="GB47" s="586"/>
      <c r="GC47" s="586"/>
      <c r="GD47" s="586"/>
      <c r="GE47" s="586"/>
      <c r="GF47" s="586"/>
      <c r="GG47" s="586"/>
      <c r="GH47" s="937"/>
      <c r="GI47" s="937"/>
      <c r="GJ47" s="807"/>
      <c r="GK47" s="937"/>
      <c r="GL47" s="937"/>
      <c r="GM47" s="590"/>
      <c r="GN47" s="586"/>
      <c r="GO47" s="586"/>
      <c r="GP47" s="586"/>
      <c r="GQ47" s="586"/>
      <c r="GR47" s="586"/>
      <c r="GS47" s="586"/>
      <c r="GT47" s="586"/>
      <c r="GU47" s="586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586"/>
      <c r="HG47" s="586"/>
      <c r="HH47" s="586"/>
      <c r="HI47" s="586"/>
      <c r="HJ47" s="586"/>
      <c r="HK47" s="586"/>
      <c r="HL47" s="586"/>
      <c r="HM47" s="586"/>
      <c r="HN47" s="586"/>
      <c r="HO47" s="586"/>
      <c r="HP47" s="586"/>
      <c r="HQ47" s="586"/>
      <c r="HR47" s="586"/>
      <c r="HS47" s="586"/>
      <c r="HT47" s="586"/>
      <c r="HU47" s="586"/>
      <c r="HV47" s="586"/>
      <c r="HW47" s="586"/>
      <c r="HX47" s="586"/>
      <c r="HY47" s="586"/>
      <c r="HZ47" s="586"/>
      <c r="IA47" s="586"/>
      <c r="IB47" s="586"/>
      <c r="IC47" s="586"/>
      <c r="ID47" s="586"/>
      <c r="IE47" s="586"/>
      <c r="IF47" s="586"/>
      <c r="IG47" s="586"/>
      <c r="IH47" s="586"/>
      <c r="II47" s="586"/>
      <c r="IJ47" s="586"/>
      <c r="IK47" s="586"/>
      <c r="IL47" s="937"/>
      <c r="IM47" s="919"/>
      <c r="IN47" s="586"/>
      <c r="IO47" s="586"/>
      <c r="IP47" s="586"/>
      <c r="IQ47" s="587"/>
      <c r="IR47" s="587"/>
      <c r="IS47" s="587"/>
      <c r="IT47" s="587"/>
      <c r="IU47" s="587"/>
      <c r="IV47" s="587"/>
      <c r="IW47" s="587"/>
      <c r="IX47" s="587"/>
      <c r="IY47" s="587"/>
      <c r="IZ47" s="587"/>
      <c r="JA47" s="587"/>
      <c r="JB47" s="587"/>
      <c r="JC47" s="587"/>
      <c r="JD47" s="587"/>
      <c r="JE47" s="587"/>
      <c r="JF47" s="587"/>
      <c r="JG47" s="587"/>
      <c r="JH47" s="588"/>
      <c r="JI47" s="589"/>
      <c r="JJ47" s="587"/>
      <c r="JK47" s="587"/>
      <c r="JL47" s="587"/>
      <c r="JM47" s="589"/>
      <c r="JN47" s="590"/>
      <c r="JO47" s="589"/>
      <c r="JP47" s="591"/>
      <c r="JQ47" s="591"/>
      <c r="JR47" s="591"/>
      <c r="JS47" s="591"/>
      <c r="JT47" s="591"/>
      <c r="JU47" s="591"/>
      <c r="JV47" s="591"/>
      <c r="JW47" s="591"/>
      <c r="JX47" s="591"/>
      <c r="JY47" s="591"/>
      <c r="JZ47" s="591"/>
      <c r="KA47" s="591"/>
      <c r="KB47" s="591"/>
      <c r="KC47" s="591"/>
      <c r="KD47" s="592"/>
      <c r="KE47" s="592"/>
      <c r="KF47" s="1071"/>
      <c r="KI47" s="593"/>
    </row>
    <row r="48" spans="1:295" s="49" customFormat="1" ht="15.75" hidden="1" customHeight="1" x14ac:dyDescent="0.25">
      <c r="A48" s="560"/>
      <c r="B48" s="597"/>
      <c r="C48" s="804"/>
      <c r="D48" s="802"/>
      <c r="E48" s="2267"/>
      <c r="F48" s="561"/>
      <c r="G48" s="562"/>
      <c r="H48" s="563"/>
      <c r="I48" s="562"/>
      <c r="J48" s="562"/>
      <c r="K48" s="562"/>
      <c r="L48" s="564"/>
      <c r="M48" s="564"/>
      <c r="N48" s="565"/>
      <c r="O48" s="564"/>
      <c r="P48" s="564"/>
      <c r="Q48" s="566"/>
      <c r="R48" s="566"/>
      <c r="S48" s="564"/>
      <c r="T48" s="564"/>
      <c r="U48" s="564"/>
      <c r="V48" s="567"/>
      <c r="W48" s="2267"/>
      <c r="X48" s="568"/>
      <c r="Y48" s="568"/>
      <c r="Z48" s="568"/>
      <c r="AA48" s="568"/>
      <c r="AB48" s="568"/>
      <c r="AC48" s="569"/>
      <c r="AD48" s="570"/>
      <c r="AE48" s="599">
        <f>X48*4.1/100</f>
        <v>0</v>
      </c>
      <c r="AF48" s="568"/>
      <c r="AG48" s="652"/>
      <c r="AH48" s="569"/>
      <c r="AI48" s="569"/>
      <c r="AJ48" s="569">
        <f>X48*24.67/100</f>
        <v>0</v>
      </c>
      <c r="AK48" s="569">
        <f>X48*17.37/100</f>
        <v>0</v>
      </c>
      <c r="AL48" s="569"/>
      <c r="AM48" s="653">
        <f>X48*24.78/100</f>
        <v>0</v>
      </c>
      <c r="AN48" s="601">
        <f>X48*1.92/100</f>
        <v>0</v>
      </c>
      <c r="AO48" s="574"/>
      <c r="AP48" s="559"/>
      <c r="AQ48" s="602"/>
      <c r="AR48" s="576"/>
      <c r="AS48" s="577"/>
      <c r="AT48" s="2285"/>
      <c r="AU48" s="584"/>
      <c r="AV48" s="578"/>
      <c r="AW48" s="579"/>
      <c r="AX48" s="580"/>
      <c r="AY48" s="579"/>
      <c r="AZ48" s="579"/>
      <c r="BA48" s="579"/>
      <c r="BB48" s="579"/>
      <c r="BC48" s="580"/>
      <c r="BD48" s="579"/>
      <c r="BE48" s="585"/>
      <c r="BF48" s="585"/>
      <c r="BG48" s="579"/>
      <c r="BH48" s="581"/>
      <c r="BI48" s="1291"/>
      <c r="BJ48" s="566"/>
      <c r="BK48" s="566"/>
      <c r="BL48" s="583"/>
      <c r="BM48" s="582"/>
      <c r="BN48" s="566"/>
      <c r="BO48" s="566"/>
      <c r="BP48" s="583"/>
      <c r="BQ48" s="578"/>
      <c r="BR48" s="579"/>
      <c r="BS48" s="567"/>
      <c r="BT48" s="581"/>
      <c r="BU48" s="709"/>
      <c r="BV48" s="567"/>
      <c r="BW48" s="579"/>
      <c r="BX48" s="579"/>
      <c r="BY48" s="579"/>
      <c r="BZ48" s="581"/>
      <c r="CA48" s="584"/>
      <c r="CB48" s="581"/>
      <c r="CC48" s="2267"/>
      <c r="CD48" s="578"/>
      <c r="CE48" s="579"/>
      <c r="CF48" s="579"/>
      <c r="CG48" s="585"/>
      <c r="CH48" s="579"/>
      <c r="CI48" s="579"/>
      <c r="CJ48" s="579"/>
      <c r="CK48" s="579"/>
      <c r="CL48" s="579"/>
      <c r="CM48" s="579"/>
      <c r="CN48" s="579"/>
      <c r="CO48" s="579"/>
      <c r="CP48" s="579"/>
      <c r="CQ48" s="579"/>
      <c r="CR48" s="579"/>
      <c r="CS48" s="579"/>
      <c r="CT48" s="579"/>
      <c r="CU48" s="579"/>
      <c r="CV48" s="579"/>
      <c r="CW48" s="579"/>
      <c r="CX48" s="579"/>
      <c r="CY48" s="579"/>
      <c r="CZ48" s="579"/>
      <c r="DA48" s="579"/>
      <c r="DB48" s="579"/>
      <c r="DC48" s="579"/>
      <c r="DD48" s="579"/>
      <c r="DE48" s="579"/>
      <c r="DF48" s="579"/>
      <c r="DG48" s="586"/>
      <c r="DH48" s="586"/>
      <c r="DI48" s="579"/>
      <c r="DJ48" s="586"/>
      <c r="DK48" s="596"/>
      <c r="DL48" s="586"/>
      <c r="DM48" s="586"/>
      <c r="DN48" s="586"/>
      <c r="DO48" s="586"/>
      <c r="DP48" s="586"/>
      <c r="DQ48" s="768"/>
      <c r="DR48" s="926"/>
      <c r="DS48" s="586"/>
      <c r="DT48" s="580"/>
      <c r="DU48" s="578"/>
      <c r="DV48" s="581"/>
      <c r="DW48" s="933"/>
      <c r="DX48" s="925"/>
      <c r="DY48" s="925"/>
      <c r="DZ48" s="925"/>
      <c r="EA48" s="925"/>
      <c r="EB48" s="925"/>
      <c r="EC48" s="925"/>
      <c r="ED48" s="586"/>
      <c r="EE48" s="768"/>
      <c r="EF48" s="584"/>
      <c r="EG48" s="581"/>
      <c r="EH48" s="919"/>
      <c r="EI48" s="925"/>
      <c r="EJ48" s="925"/>
      <c r="EK48" s="925"/>
      <c r="EL48" s="925"/>
      <c r="EM48" s="925"/>
      <c r="EN48" s="925"/>
      <c r="EO48" s="925"/>
      <c r="EP48" s="925"/>
      <c r="EQ48" s="925"/>
      <c r="ER48" s="925"/>
      <c r="ES48" s="925"/>
      <c r="ET48" s="925"/>
      <c r="EU48" s="925"/>
      <c r="EV48" s="925"/>
      <c r="EW48" s="925"/>
      <c r="EX48" s="586"/>
      <c r="EY48" s="925"/>
      <c r="EZ48" s="925"/>
      <c r="FA48" s="596"/>
      <c r="FB48" s="925"/>
      <c r="FC48" s="579"/>
      <c r="FD48" s="579"/>
      <c r="FE48" s="586"/>
      <c r="FF48" s="586"/>
      <c r="FG48" s="586"/>
      <c r="FH48" s="586"/>
      <c r="FI48" s="586"/>
      <c r="FJ48" s="586"/>
      <c r="FK48" s="586"/>
      <c r="FL48" s="586"/>
      <c r="FM48" s="586"/>
      <c r="FN48" s="586"/>
      <c r="FO48" s="586"/>
      <c r="FP48" s="586"/>
      <c r="FQ48" s="586"/>
      <c r="FR48" s="586"/>
      <c r="FS48" s="586"/>
      <c r="FT48" s="586"/>
      <c r="FU48" s="586"/>
      <c r="FV48" s="586"/>
      <c r="FW48" s="586"/>
      <c r="FX48" s="586"/>
      <c r="FY48" s="586"/>
      <c r="FZ48" s="586"/>
      <c r="GA48" s="586"/>
      <c r="GB48" s="586"/>
      <c r="GC48" s="586"/>
      <c r="GD48" s="586"/>
      <c r="GE48" s="586"/>
      <c r="GF48" s="586"/>
      <c r="GG48" s="586"/>
      <c r="GH48" s="937"/>
      <c r="GI48" s="937"/>
      <c r="GJ48" s="807"/>
      <c r="GK48" s="937"/>
      <c r="GL48" s="937"/>
      <c r="GM48" s="590"/>
      <c r="GN48" s="586"/>
      <c r="GO48" s="586"/>
      <c r="GP48" s="586"/>
      <c r="GQ48" s="586"/>
      <c r="GR48" s="586"/>
      <c r="GS48" s="586"/>
      <c r="GT48" s="586"/>
      <c r="GU48" s="586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586"/>
      <c r="HG48" s="586"/>
      <c r="HH48" s="586"/>
      <c r="HI48" s="586"/>
      <c r="HJ48" s="586"/>
      <c r="HK48" s="586"/>
      <c r="HL48" s="586"/>
      <c r="HM48" s="586"/>
      <c r="HN48" s="586"/>
      <c r="HO48" s="586"/>
      <c r="HP48" s="586"/>
      <c r="HQ48" s="586"/>
      <c r="HR48" s="586"/>
      <c r="HS48" s="586"/>
      <c r="HT48" s="586"/>
      <c r="HU48" s="586"/>
      <c r="HV48" s="586"/>
      <c r="HW48" s="586"/>
      <c r="HX48" s="586"/>
      <c r="HY48" s="586"/>
      <c r="HZ48" s="586"/>
      <c r="IA48" s="586"/>
      <c r="IB48" s="586"/>
      <c r="IC48" s="586"/>
      <c r="ID48" s="586"/>
      <c r="IE48" s="586"/>
      <c r="IF48" s="586"/>
      <c r="IG48" s="586"/>
      <c r="IH48" s="586"/>
      <c r="II48" s="586"/>
      <c r="IJ48" s="586"/>
      <c r="IK48" s="586"/>
      <c r="IL48" s="937"/>
      <c r="IM48" s="919"/>
      <c r="IN48" s="586"/>
      <c r="IO48" s="586"/>
      <c r="IP48" s="586"/>
      <c r="IQ48" s="587"/>
      <c r="IR48" s="587"/>
      <c r="IS48" s="587"/>
      <c r="IT48" s="587"/>
      <c r="IU48" s="587"/>
      <c r="IV48" s="587"/>
      <c r="IW48" s="587"/>
      <c r="IX48" s="587"/>
      <c r="IY48" s="587"/>
      <c r="IZ48" s="587"/>
      <c r="JA48" s="587"/>
      <c r="JB48" s="587"/>
      <c r="JC48" s="587"/>
      <c r="JD48" s="587"/>
      <c r="JE48" s="587"/>
      <c r="JF48" s="587"/>
      <c r="JG48" s="587"/>
      <c r="JH48" s="588"/>
      <c r="JI48" s="589"/>
      <c r="JJ48" s="587"/>
      <c r="JK48" s="587"/>
      <c r="JL48" s="587"/>
      <c r="JM48" s="589"/>
      <c r="JN48" s="590"/>
      <c r="JO48" s="589"/>
      <c r="JP48" s="591"/>
      <c r="JQ48" s="591"/>
      <c r="JR48" s="591"/>
      <c r="JS48" s="591"/>
      <c r="JT48" s="591"/>
      <c r="JU48" s="591"/>
      <c r="JV48" s="591"/>
      <c r="JW48" s="591"/>
      <c r="JX48" s="591"/>
      <c r="JY48" s="591"/>
      <c r="JZ48" s="591"/>
      <c r="KA48" s="591"/>
      <c r="KB48" s="591"/>
      <c r="KC48" s="591"/>
      <c r="KD48" s="592"/>
      <c r="KE48" s="592"/>
      <c r="KF48" s="1071"/>
      <c r="KI48" s="593"/>
    </row>
    <row r="49" spans="1:295" s="49" customFormat="1" ht="15.75" hidden="1" customHeight="1" x14ac:dyDescent="0.25">
      <c r="A49" s="560"/>
      <c r="B49" s="597"/>
      <c r="C49" s="804"/>
      <c r="D49" s="802"/>
      <c r="E49" s="2267"/>
      <c r="F49" s="561"/>
      <c r="G49" s="562"/>
      <c r="H49" s="563"/>
      <c r="I49" s="562"/>
      <c r="J49" s="562"/>
      <c r="K49" s="562"/>
      <c r="L49" s="564"/>
      <c r="M49" s="564"/>
      <c r="N49" s="565"/>
      <c r="O49" s="564"/>
      <c r="P49" s="564"/>
      <c r="Q49" s="566"/>
      <c r="R49" s="566"/>
      <c r="S49" s="564"/>
      <c r="T49" s="564"/>
      <c r="U49" s="564"/>
      <c r="V49" s="567"/>
      <c r="W49" s="2267"/>
      <c r="X49" s="568"/>
      <c r="Y49" s="568"/>
      <c r="Z49" s="568"/>
      <c r="AA49" s="568"/>
      <c r="AB49" s="568"/>
      <c r="AC49" s="569"/>
      <c r="AD49" s="570"/>
      <c r="AE49" s="598">
        <f>6.1*X49/100</f>
        <v>0</v>
      </c>
      <c r="AF49" s="654"/>
      <c r="AG49" s="655"/>
      <c r="AH49" s="658"/>
      <c r="AI49" s="658"/>
      <c r="AJ49" s="658">
        <f>24.16*X49/100</f>
        <v>0</v>
      </c>
      <c r="AK49" s="658"/>
      <c r="AL49" s="658"/>
      <c r="AM49" s="659">
        <f>41.52*X49/100</f>
        <v>0</v>
      </c>
      <c r="AN49" s="594"/>
      <c r="AO49" s="574"/>
      <c r="AP49" s="572"/>
      <c r="AQ49" s="602"/>
      <c r="AR49" s="576"/>
      <c r="AS49" s="577"/>
      <c r="AT49" s="2285"/>
      <c r="AU49" s="584"/>
      <c r="AV49" s="578"/>
      <c r="AW49" s="579"/>
      <c r="AX49" s="580"/>
      <c r="AY49" s="579"/>
      <c r="AZ49" s="579"/>
      <c r="BA49" s="579"/>
      <c r="BB49" s="579"/>
      <c r="BC49" s="580"/>
      <c r="BD49" s="579"/>
      <c r="BE49" s="585"/>
      <c r="BF49" s="585"/>
      <c r="BG49" s="579"/>
      <c r="BH49" s="581"/>
      <c r="BI49" s="1291"/>
      <c r="BJ49" s="566"/>
      <c r="BK49" s="566"/>
      <c r="BL49" s="583"/>
      <c r="BM49" s="582"/>
      <c r="BN49" s="566"/>
      <c r="BO49" s="566"/>
      <c r="BP49" s="583"/>
      <c r="BQ49" s="578"/>
      <c r="BR49" s="579"/>
      <c r="BS49" s="567"/>
      <c r="BT49" s="581"/>
      <c r="BU49" s="709"/>
      <c r="BV49" s="567"/>
      <c r="BW49" s="579"/>
      <c r="BX49" s="579"/>
      <c r="BY49" s="579"/>
      <c r="BZ49" s="581"/>
      <c r="CA49" s="584"/>
      <c r="CB49" s="581"/>
      <c r="CC49" s="2267"/>
      <c r="CD49" s="578"/>
      <c r="CE49" s="579"/>
      <c r="CF49" s="579"/>
      <c r="CG49" s="585"/>
      <c r="CH49" s="579"/>
      <c r="CI49" s="579"/>
      <c r="CJ49" s="579"/>
      <c r="CK49" s="579"/>
      <c r="CL49" s="579"/>
      <c r="CM49" s="579"/>
      <c r="CN49" s="579"/>
      <c r="CO49" s="579"/>
      <c r="CP49" s="579"/>
      <c r="CQ49" s="579"/>
      <c r="CR49" s="579"/>
      <c r="CS49" s="579"/>
      <c r="CT49" s="579"/>
      <c r="CU49" s="579"/>
      <c r="CV49" s="579"/>
      <c r="CW49" s="579"/>
      <c r="CX49" s="579"/>
      <c r="CY49" s="579"/>
      <c r="CZ49" s="579"/>
      <c r="DA49" s="579"/>
      <c r="DB49" s="579"/>
      <c r="DC49" s="579"/>
      <c r="DD49" s="579"/>
      <c r="DE49" s="579"/>
      <c r="DF49" s="579"/>
      <c r="DG49" s="586"/>
      <c r="DH49" s="586"/>
      <c r="DI49" s="579"/>
      <c r="DJ49" s="586"/>
      <c r="DK49" s="596"/>
      <c r="DL49" s="586"/>
      <c r="DM49" s="586"/>
      <c r="DN49" s="586"/>
      <c r="DO49" s="586"/>
      <c r="DP49" s="586"/>
      <c r="DQ49" s="768"/>
      <c r="DR49" s="926"/>
      <c r="DS49" s="586"/>
      <c r="DT49" s="580"/>
      <c r="DU49" s="578"/>
      <c r="DV49" s="581"/>
      <c r="DW49" s="933"/>
      <c r="DX49" s="925"/>
      <c r="DY49" s="925"/>
      <c r="DZ49" s="925"/>
      <c r="EA49" s="925"/>
      <c r="EB49" s="925"/>
      <c r="EC49" s="925"/>
      <c r="ED49" s="586"/>
      <c r="EE49" s="768"/>
      <c r="EF49" s="584"/>
      <c r="EG49" s="581"/>
      <c r="EH49" s="919"/>
      <c r="EI49" s="925"/>
      <c r="EJ49" s="925"/>
      <c r="EK49" s="925"/>
      <c r="EL49" s="925"/>
      <c r="EM49" s="925"/>
      <c r="EN49" s="925"/>
      <c r="EO49" s="925"/>
      <c r="EP49" s="925"/>
      <c r="EQ49" s="925"/>
      <c r="ER49" s="925"/>
      <c r="ES49" s="925"/>
      <c r="ET49" s="925"/>
      <c r="EU49" s="925"/>
      <c r="EV49" s="925"/>
      <c r="EW49" s="925"/>
      <c r="EX49" s="586"/>
      <c r="EY49" s="925"/>
      <c r="EZ49" s="925"/>
      <c r="FA49" s="596"/>
      <c r="FB49" s="925"/>
      <c r="FC49" s="579"/>
      <c r="FD49" s="579"/>
      <c r="FE49" s="586"/>
      <c r="FF49" s="586"/>
      <c r="FG49" s="586"/>
      <c r="FH49" s="586"/>
      <c r="FI49" s="586"/>
      <c r="FJ49" s="586"/>
      <c r="FK49" s="586"/>
      <c r="FL49" s="586"/>
      <c r="FM49" s="586"/>
      <c r="FN49" s="586"/>
      <c r="FO49" s="586"/>
      <c r="FP49" s="586"/>
      <c r="FQ49" s="586"/>
      <c r="FR49" s="586"/>
      <c r="FS49" s="586"/>
      <c r="FT49" s="586"/>
      <c r="FU49" s="586"/>
      <c r="FV49" s="586"/>
      <c r="FW49" s="586"/>
      <c r="FX49" s="586"/>
      <c r="FY49" s="586"/>
      <c r="FZ49" s="586"/>
      <c r="GA49" s="586"/>
      <c r="GB49" s="586"/>
      <c r="GC49" s="586"/>
      <c r="GD49" s="586"/>
      <c r="GE49" s="586"/>
      <c r="GF49" s="586"/>
      <c r="GG49" s="586"/>
      <c r="GH49" s="937"/>
      <c r="GI49" s="937"/>
      <c r="GJ49" s="807"/>
      <c r="GK49" s="937"/>
      <c r="GL49" s="937"/>
      <c r="GM49" s="590"/>
      <c r="GN49" s="586"/>
      <c r="GO49" s="586"/>
      <c r="GP49" s="586"/>
      <c r="GQ49" s="586"/>
      <c r="GR49" s="586"/>
      <c r="GS49" s="586"/>
      <c r="GT49" s="586"/>
      <c r="GU49" s="586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586"/>
      <c r="HG49" s="586"/>
      <c r="HH49" s="586"/>
      <c r="HI49" s="586"/>
      <c r="HJ49" s="586"/>
      <c r="HK49" s="586"/>
      <c r="HL49" s="586"/>
      <c r="HM49" s="586"/>
      <c r="HN49" s="586"/>
      <c r="HO49" s="586"/>
      <c r="HP49" s="586"/>
      <c r="HQ49" s="586"/>
      <c r="HR49" s="586"/>
      <c r="HS49" s="586"/>
      <c r="HT49" s="586"/>
      <c r="HU49" s="586"/>
      <c r="HV49" s="586"/>
      <c r="HW49" s="586"/>
      <c r="HX49" s="586"/>
      <c r="HY49" s="586"/>
      <c r="HZ49" s="586"/>
      <c r="IA49" s="586"/>
      <c r="IB49" s="586"/>
      <c r="IC49" s="586"/>
      <c r="ID49" s="586"/>
      <c r="IE49" s="586"/>
      <c r="IF49" s="586"/>
      <c r="IG49" s="586"/>
      <c r="IH49" s="586"/>
      <c r="II49" s="586"/>
      <c r="IJ49" s="586"/>
      <c r="IK49" s="586"/>
      <c r="IL49" s="937"/>
      <c r="IM49" s="919"/>
      <c r="IN49" s="586"/>
      <c r="IO49" s="586"/>
      <c r="IP49" s="586"/>
      <c r="IQ49" s="587"/>
      <c r="IR49" s="587"/>
      <c r="IS49" s="587"/>
      <c r="IT49" s="587"/>
      <c r="IU49" s="587"/>
      <c r="IV49" s="587"/>
      <c r="IW49" s="587"/>
      <c r="IX49" s="587"/>
      <c r="IY49" s="587"/>
      <c r="IZ49" s="587"/>
      <c r="JA49" s="587"/>
      <c r="JB49" s="587"/>
      <c r="JC49" s="587"/>
      <c r="JD49" s="587"/>
      <c r="JE49" s="587"/>
      <c r="JF49" s="587"/>
      <c r="JG49" s="587"/>
      <c r="JH49" s="588"/>
      <c r="JI49" s="589"/>
      <c r="JJ49" s="587"/>
      <c r="JK49" s="587"/>
      <c r="JL49" s="587"/>
      <c r="JM49" s="589"/>
      <c r="JN49" s="590"/>
      <c r="JO49" s="589"/>
      <c r="JP49" s="591"/>
      <c r="JQ49" s="591"/>
      <c r="JR49" s="591"/>
      <c r="JS49" s="591"/>
      <c r="JT49" s="591"/>
      <c r="JU49" s="591"/>
      <c r="JV49" s="591"/>
      <c r="JW49" s="591"/>
      <c r="JX49" s="591"/>
      <c r="JY49" s="591"/>
      <c r="JZ49" s="591"/>
      <c r="KA49" s="591"/>
      <c r="KB49" s="591"/>
      <c r="KC49" s="591"/>
      <c r="KD49" s="592"/>
      <c r="KE49" s="592"/>
      <c r="KF49" s="1071"/>
      <c r="KI49" s="593"/>
    </row>
    <row r="50" spans="1:295" s="49" customFormat="1" ht="15.75" hidden="1" customHeight="1" x14ac:dyDescent="0.25">
      <c r="A50" s="560"/>
      <c r="B50" s="607"/>
      <c r="C50" s="804"/>
      <c r="D50" s="802">
        <f>C50</f>
        <v>0</v>
      </c>
      <c r="E50" s="2267"/>
      <c r="F50" s="561"/>
      <c r="G50" s="562"/>
      <c r="H50" s="563"/>
      <c r="I50" s="562"/>
      <c r="J50" s="562"/>
      <c r="K50" s="562"/>
      <c r="L50" s="564"/>
      <c r="M50" s="564"/>
      <c r="N50" s="565"/>
      <c r="O50" s="564"/>
      <c r="P50" s="564"/>
      <c r="Q50" s="566"/>
      <c r="R50" s="566"/>
      <c r="S50" s="564"/>
      <c r="T50" s="564"/>
      <c r="U50" s="564"/>
      <c r="V50" s="567"/>
      <c r="W50" s="2267"/>
      <c r="X50" s="568"/>
      <c r="Y50" s="568"/>
      <c r="Z50" s="568"/>
      <c r="AA50" s="568"/>
      <c r="AB50" s="568"/>
      <c r="AC50" s="569"/>
      <c r="AD50" s="570"/>
      <c r="AE50" s="598"/>
      <c r="AF50" s="660"/>
      <c r="AG50" s="655"/>
      <c r="AH50" s="658"/>
      <c r="AI50" s="658"/>
      <c r="AJ50" s="658"/>
      <c r="AK50" s="658"/>
      <c r="AL50" s="658"/>
      <c r="AM50" s="659"/>
      <c r="AN50" s="594"/>
      <c r="AO50" s="574"/>
      <c r="AP50" s="572"/>
      <c r="AQ50" s="602"/>
      <c r="AR50" s="576"/>
      <c r="AS50" s="577"/>
      <c r="AT50" s="2285"/>
      <c r="AU50" s="584"/>
      <c r="AV50" s="578"/>
      <c r="AW50" s="579"/>
      <c r="AX50" s="580"/>
      <c r="AY50" s="579"/>
      <c r="AZ50" s="579"/>
      <c r="BA50" s="579"/>
      <c r="BB50" s="579"/>
      <c r="BC50" s="580"/>
      <c r="BD50" s="579"/>
      <c r="BE50" s="585"/>
      <c r="BF50" s="585"/>
      <c r="BG50" s="579"/>
      <c r="BH50" s="581"/>
      <c r="BI50" s="1291"/>
      <c r="BJ50" s="566"/>
      <c r="BK50" s="566"/>
      <c r="BL50" s="583"/>
      <c r="BM50" s="582"/>
      <c r="BN50" s="566"/>
      <c r="BO50" s="566"/>
      <c r="BP50" s="583"/>
      <c r="BQ50" s="578"/>
      <c r="BR50" s="579"/>
      <c r="BS50" s="567"/>
      <c r="BT50" s="581"/>
      <c r="BU50" s="709"/>
      <c r="BV50" s="567"/>
      <c r="BW50" s="579"/>
      <c r="BX50" s="579"/>
      <c r="BY50" s="579"/>
      <c r="BZ50" s="581"/>
      <c r="CA50" s="584"/>
      <c r="CB50" s="581"/>
      <c r="CC50" s="2267"/>
      <c r="CD50" s="578"/>
      <c r="CE50" s="579"/>
      <c r="CF50" s="579"/>
      <c r="CG50" s="585"/>
      <c r="CH50" s="579"/>
      <c r="CI50" s="579"/>
      <c r="CJ50" s="579"/>
      <c r="CK50" s="579"/>
      <c r="CL50" s="579"/>
      <c r="CM50" s="579"/>
      <c r="CN50" s="579"/>
      <c r="CO50" s="579"/>
      <c r="CP50" s="579"/>
      <c r="CQ50" s="579"/>
      <c r="CR50" s="579"/>
      <c r="CS50" s="579"/>
      <c r="CT50" s="579"/>
      <c r="CU50" s="579"/>
      <c r="CV50" s="579"/>
      <c r="CW50" s="579"/>
      <c r="CX50" s="579"/>
      <c r="CY50" s="579"/>
      <c r="CZ50" s="579"/>
      <c r="DA50" s="579"/>
      <c r="DB50" s="579"/>
      <c r="DC50" s="579"/>
      <c r="DD50" s="579"/>
      <c r="DE50" s="579"/>
      <c r="DF50" s="579"/>
      <c r="DG50" s="586"/>
      <c r="DH50" s="586"/>
      <c r="DI50" s="579"/>
      <c r="DJ50" s="586"/>
      <c r="DK50" s="596"/>
      <c r="DL50" s="586"/>
      <c r="DM50" s="586"/>
      <c r="DN50" s="586"/>
      <c r="DO50" s="586"/>
      <c r="DP50" s="586"/>
      <c r="DQ50" s="768"/>
      <c r="DR50" s="926"/>
      <c r="DS50" s="586"/>
      <c r="DT50" s="580"/>
      <c r="DU50" s="578"/>
      <c r="DV50" s="581"/>
      <c r="DW50" s="933"/>
      <c r="DX50" s="925"/>
      <c r="DY50" s="925"/>
      <c r="DZ50" s="925"/>
      <c r="EA50" s="925"/>
      <c r="EB50" s="925"/>
      <c r="EC50" s="925"/>
      <c r="ED50" s="586"/>
      <c r="EE50" s="768"/>
      <c r="EF50" s="584"/>
      <c r="EG50" s="581"/>
      <c r="EH50" s="919"/>
      <c r="EI50" s="925"/>
      <c r="EJ50" s="925"/>
      <c r="EK50" s="925"/>
      <c r="EL50" s="925"/>
      <c r="EM50" s="925"/>
      <c r="EN50" s="925"/>
      <c r="EO50" s="925"/>
      <c r="EP50" s="925"/>
      <c r="EQ50" s="925"/>
      <c r="ER50" s="925"/>
      <c r="ES50" s="925"/>
      <c r="ET50" s="925"/>
      <c r="EU50" s="925"/>
      <c r="EV50" s="925"/>
      <c r="EW50" s="925"/>
      <c r="EX50" s="586"/>
      <c r="EY50" s="925"/>
      <c r="EZ50" s="925"/>
      <c r="FA50" s="596"/>
      <c r="FB50" s="925"/>
      <c r="FC50" s="579"/>
      <c r="FD50" s="579"/>
      <c r="FE50" s="586"/>
      <c r="FF50" s="586"/>
      <c r="FG50" s="586"/>
      <c r="FH50" s="586"/>
      <c r="FI50" s="586"/>
      <c r="FJ50" s="586"/>
      <c r="FK50" s="586"/>
      <c r="FL50" s="586"/>
      <c r="FM50" s="586"/>
      <c r="FN50" s="586"/>
      <c r="FO50" s="586"/>
      <c r="FP50" s="586"/>
      <c r="FQ50" s="586"/>
      <c r="FR50" s="586"/>
      <c r="FS50" s="586"/>
      <c r="FT50" s="586"/>
      <c r="FU50" s="586"/>
      <c r="FV50" s="586"/>
      <c r="FW50" s="586"/>
      <c r="FX50" s="586"/>
      <c r="FY50" s="586"/>
      <c r="FZ50" s="586"/>
      <c r="GA50" s="586"/>
      <c r="GB50" s="586"/>
      <c r="GC50" s="586"/>
      <c r="GD50" s="586"/>
      <c r="GE50" s="586"/>
      <c r="GF50" s="586"/>
      <c r="GG50" s="586"/>
      <c r="GH50" s="937"/>
      <c r="GI50" s="937"/>
      <c r="GJ50" s="807"/>
      <c r="GK50" s="937"/>
      <c r="GL50" s="937"/>
      <c r="GM50" s="590"/>
      <c r="GN50" s="586"/>
      <c r="GO50" s="586"/>
      <c r="GP50" s="586"/>
      <c r="GQ50" s="586"/>
      <c r="GR50" s="586"/>
      <c r="GS50" s="586"/>
      <c r="GT50" s="586"/>
      <c r="GU50" s="586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586"/>
      <c r="HG50" s="586"/>
      <c r="HH50" s="586"/>
      <c r="HI50" s="586"/>
      <c r="HJ50" s="586"/>
      <c r="HK50" s="586"/>
      <c r="HL50" s="586"/>
      <c r="HM50" s="586"/>
      <c r="HN50" s="586"/>
      <c r="HO50" s="586"/>
      <c r="HP50" s="586"/>
      <c r="HQ50" s="586"/>
      <c r="HR50" s="586"/>
      <c r="HS50" s="586"/>
      <c r="HT50" s="586"/>
      <c r="HU50" s="586"/>
      <c r="HV50" s="586"/>
      <c r="HW50" s="586"/>
      <c r="HX50" s="586"/>
      <c r="HY50" s="586"/>
      <c r="HZ50" s="586"/>
      <c r="IA50" s="586"/>
      <c r="IB50" s="586"/>
      <c r="IC50" s="586"/>
      <c r="ID50" s="586"/>
      <c r="IE50" s="586"/>
      <c r="IF50" s="586"/>
      <c r="IG50" s="586"/>
      <c r="IH50" s="586"/>
      <c r="II50" s="586"/>
      <c r="IJ50" s="586"/>
      <c r="IK50" s="586"/>
      <c r="IL50" s="937"/>
      <c r="IM50" s="919"/>
      <c r="IN50" s="586"/>
      <c r="IO50" s="586"/>
      <c r="IP50" s="586"/>
      <c r="IQ50" s="587"/>
      <c r="IR50" s="587"/>
      <c r="IS50" s="587"/>
      <c r="IT50" s="587"/>
      <c r="IU50" s="587"/>
      <c r="IV50" s="587"/>
      <c r="IW50" s="587"/>
      <c r="IX50" s="587"/>
      <c r="IY50" s="587"/>
      <c r="IZ50" s="587"/>
      <c r="JA50" s="587"/>
      <c r="JB50" s="587"/>
      <c r="JC50" s="587"/>
      <c r="JD50" s="587"/>
      <c r="JE50" s="587"/>
      <c r="JF50" s="587"/>
      <c r="JG50" s="587"/>
      <c r="JH50" s="588"/>
      <c r="JI50" s="589"/>
      <c r="JJ50" s="587"/>
      <c r="JK50" s="587"/>
      <c r="JL50" s="587"/>
      <c r="JM50" s="589"/>
      <c r="JN50" s="590"/>
      <c r="JO50" s="589"/>
      <c r="JP50" s="591"/>
      <c r="JQ50" s="591"/>
      <c r="JR50" s="591"/>
      <c r="JS50" s="591"/>
      <c r="JT50" s="591"/>
      <c r="JU50" s="591"/>
      <c r="JV50" s="591"/>
      <c r="JW50" s="591"/>
      <c r="JX50" s="591"/>
      <c r="JY50" s="591"/>
      <c r="JZ50" s="591"/>
      <c r="KA50" s="591"/>
      <c r="KB50" s="591"/>
      <c r="KC50" s="591"/>
      <c r="KD50" s="592"/>
      <c r="KE50" s="592"/>
      <c r="KF50" s="1071"/>
      <c r="KI50" s="593"/>
    </row>
    <row r="51" spans="1:295" s="49" customFormat="1" ht="15.75" hidden="1" customHeight="1" x14ac:dyDescent="0.25">
      <c r="A51" s="560"/>
      <c r="B51" s="605"/>
      <c r="C51" s="804"/>
      <c r="D51" s="802"/>
      <c r="E51" s="2267"/>
      <c r="F51" s="561"/>
      <c r="G51" s="562"/>
      <c r="H51" s="563"/>
      <c r="I51" s="562"/>
      <c r="J51" s="562"/>
      <c r="K51" s="562"/>
      <c r="L51" s="564"/>
      <c r="M51" s="564"/>
      <c r="N51" s="565"/>
      <c r="O51" s="564"/>
      <c r="P51" s="564"/>
      <c r="Q51" s="566"/>
      <c r="R51" s="566"/>
      <c r="S51" s="564"/>
      <c r="T51" s="564"/>
      <c r="U51" s="564"/>
      <c r="V51" s="567"/>
      <c r="W51" s="2267"/>
      <c r="X51" s="568"/>
      <c r="Y51" s="568"/>
      <c r="Z51" s="568"/>
      <c r="AA51" s="568"/>
      <c r="AB51" s="568"/>
      <c r="AC51" s="569"/>
      <c r="AD51" s="570"/>
      <c r="AE51" s="598">
        <f>6.1*X51/100</f>
        <v>0</v>
      </c>
      <c r="AF51" s="654"/>
      <c r="AG51" s="655"/>
      <c r="AH51" s="658"/>
      <c r="AI51" s="658"/>
      <c r="AJ51" s="658">
        <f>24.16*X51/100</f>
        <v>0</v>
      </c>
      <c r="AK51" s="658"/>
      <c r="AL51" s="658"/>
      <c r="AM51" s="659">
        <f>41.52*X51/100</f>
        <v>0</v>
      </c>
      <c r="AN51" s="594"/>
      <c r="AO51" s="574"/>
      <c r="AP51" s="572"/>
      <c r="AQ51" s="575"/>
      <c r="AR51" s="576"/>
      <c r="AS51" s="577"/>
      <c r="AT51" s="2285"/>
      <c r="AU51" s="584"/>
      <c r="AV51" s="578"/>
      <c r="AW51" s="579"/>
      <c r="AX51" s="580"/>
      <c r="AY51" s="579"/>
      <c r="AZ51" s="579"/>
      <c r="BA51" s="579"/>
      <c r="BB51" s="579"/>
      <c r="BC51" s="580"/>
      <c r="BD51" s="579"/>
      <c r="BE51" s="585"/>
      <c r="BF51" s="585"/>
      <c r="BG51" s="579"/>
      <c r="BH51" s="581"/>
      <c r="BI51" s="1291"/>
      <c r="BJ51" s="566"/>
      <c r="BK51" s="566"/>
      <c r="BL51" s="583"/>
      <c r="BM51" s="582"/>
      <c r="BN51" s="566"/>
      <c r="BO51" s="566"/>
      <c r="BP51" s="583"/>
      <c r="BQ51" s="578"/>
      <c r="BR51" s="579"/>
      <c r="BS51" s="567"/>
      <c r="BT51" s="581"/>
      <c r="BU51" s="709"/>
      <c r="BV51" s="567"/>
      <c r="BW51" s="579"/>
      <c r="BX51" s="579"/>
      <c r="BY51" s="579"/>
      <c r="BZ51" s="581"/>
      <c r="CA51" s="584"/>
      <c r="CB51" s="581"/>
      <c r="CC51" s="2267"/>
      <c r="CD51" s="578"/>
      <c r="CE51" s="579"/>
      <c r="CF51" s="579"/>
      <c r="CG51" s="585"/>
      <c r="CH51" s="579"/>
      <c r="CI51" s="579"/>
      <c r="CJ51" s="579"/>
      <c r="CK51" s="579"/>
      <c r="CL51" s="579"/>
      <c r="CM51" s="579"/>
      <c r="CN51" s="579"/>
      <c r="CO51" s="579"/>
      <c r="CP51" s="579"/>
      <c r="CQ51" s="579"/>
      <c r="CR51" s="579"/>
      <c r="CS51" s="579"/>
      <c r="CT51" s="579"/>
      <c r="CU51" s="579"/>
      <c r="CV51" s="579"/>
      <c r="CW51" s="579"/>
      <c r="CX51" s="579"/>
      <c r="CY51" s="579"/>
      <c r="CZ51" s="579"/>
      <c r="DA51" s="579"/>
      <c r="DB51" s="579"/>
      <c r="DC51" s="579"/>
      <c r="DD51" s="579"/>
      <c r="DE51" s="579"/>
      <c r="DF51" s="579"/>
      <c r="DG51" s="586"/>
      <c r="DH51" s="586"/>
      <c r="DI51" s="579"/>
      <c r="DJ51" s="586"/>
      <c r="DK51" s="596"/>
      <c r="DL51" s="586"/>
      <c r="DM51" s="586"/>
      <c r="DN51" s="586"/>
      <c r="DO51" s="586"/>
      <c r="DP51" s="586"/>
      <c r="DQ51" s="768"/>
      <c r="DR51" s="926"/>
      <c r="DS51" s="586"/>
      <c r="DT51" s="580"/>
      <c r="DU51" s="578"/>
      <c r="DV51" s="581"/>
      <c r="DW51" s="933"/>
      <c r="DX51" s="925"/>
      <c r="DY51" s="925"/>
      <c r="DZ51" s="925"/>
      <c r="EA51" s="925"/>
      <c r="EB51" s="925"/>
      <c r="EC51" s="925"/>
      <c r="ED51" s="586"/>
      <c r="EE51" s="768"/>
      <c r="EF51" s="584"/>
      <c r="EG51" s="581"/>
      <c r="EH51" s="919"/>
      <c r="EI51" s="925"/>
      <c r="EJ51" s="925"/>
      <c r="EK51" s="925"/>
      <c r="EL51" s="925"/>
      <c r="EM51" s="925"/>
      <c r="EN51" s="925"/>
      <c r="EO51" s="925"/>
      <c r="EP51" s="925"/>
      <c r="EQ51" s="925"/>
      <c r="ER51" s="925"/>
      <c r="ES51" s="925"/>
      <c r="ET51" s="925"/>
      <c r="EU51" s="925"/>
      <c r="EV51" s="925"/>
      <c r="EW51" s="925"/>
      <c r="EX51" s="586"/>
      <c r="EY51" s="925"/>
      <c r="EZ51" s="925"/>
      <c r="FA51" s="596"/>
      <c r="FB51" s="925"/>
      <c r="FC51" s="579"/>
      <c r="FD51" s="579"/>
      <c r="FE51" s="586"/>
      <c r="FF51" s="586"/>
      <c r="FG51" s="586"/>
      <c r="FH51" s="586"/>
      <c r="FI51" s="586"/>
      <c r="FJ51" s="586"/>
      <c r="FK51" s="586"/>
      <c r="FL51" s="586"/>
      <c r="FM51" s="586"/>
      <c r="FN51" s="586"/>
      <c r="FO51" s="586"/>
      <c r="FP51" s="586"/>
      <c r="FQ51" s="586"/>
      <c r="FR51" s="586"/>
      <c r="FS51" s="586"/>
      <c r="FT51" s="586"/>
      <c r="FU51" s="586"/>
      <c r="FV51" s="586"/>
      <c r="FW51" s="586"/>
      <c r="FX51" s="586"/>
      <c r="FY51" s="586"/>
      <c r="FZ51" s="586"/>
      <c r="GA51" s="586"/>
      <c r="GB51" s="586"/>
      <c r="GC51" s="586"/>
      <c r="GD51" s="586"/>
      <c r="GE51" s="586"/>
      <c r="GF51" s="586"/>
      <c r="GG51" s="586"/>
      <c r="GH51" s="937"/>
      <c r="GI51" s="937"/>
      <c r="GJ51" s="807"/>
      <c r="GK51" s="937"/>
      <c r="GL51" s="937"/>
      <c r="GM51" s="590"/>
      <c r="GN51" s="586"/>
      <c r="GO51" s="586"/>
      <c r="GP51" s="586"/>
      <c r="GQ51" s="586"/>
      <c r="GR51" s="586"/>
      <c r="GS51" s="586"/>
      <c r="GT51" s="586"/>
      <c r="GU51" s="586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586"/>
      <c r="HG51" s="586"/>
      <c r="HH51" s="586"/>
      <c r="HI51" s="586"/>
      <c r="HJ51" s="586"/>
      <c r="HK51" s="586"/>
      <c r="HL51" s="586"/>
      <c r="HM51" s="586"/>
      <c r="HN51" s="586"/>
      <c r="HO51" s="586"/>
      <c r="HP51" s="586"/>
      <c r="HQ51" s="586"/>
      <c r="HR51" s="586"/>
      <c r="HS51" s="586"/>
      <c r="HT51" s="586"/>
      <c r="HU51" s="586"/>
      <c r="HV51" s="586"/>
      <c r="HW51" s="586"/>
      <c r="HX51" s="586"/>
      <c r="HY51" s="586"/>
      <c r="HZ51" s="586"/>
      <c r="IA51" s="586"/>
      <c r="IB51" s="586"/>
      <c r="IC51" s="586"/>
      <c r="ID51" s="586"/>
      <c r="IE51" s="586"/>
      <c r="IF51" s="586"/>
      <c r="IG51" s="586"/>
      <c r="IH51" s="586"/>
      <c r="II51" s="586"/>
      <c r="IJ51" s="586"/>
      <c r="IK51" s="586"/>
      <c r="IL51" s="937"/>
      <c r="IM51" s="919"/>
      <c r="IN51" s="586"/>
      <c r="IO51" s="586"/>
      <c r="IP51" s="586"/>
      <c r="IQ51" s="587"/>
      <c r="IR51" s="587"/>
      <c r="IS51" s="587"/>
      <c r="IT51" s="587"/>
      <c r="IU51" s="587"/>
      <c r="IV51" s="587"/>
      <c r="IW51" s="587"/>
      <c r="IX51" s="587"/>
      <c r="IY51" s="587"/>
      <c r="IZ51" s="587"/>
      <c r="JA51" s="587"/>
      <c r="JB51" s="587"/>
      <c r="JC51" s="587"/>
      <c r="JD51" s="587"/>
      <c r="JE51" s="587"/>
      <c r="JF51" s="587"/>
      <c r="JG51" s="587"/>
      <c r="JH51" s="588"/>
      <c r="JI51" s="589"/>
      <c r="JJ51" s="587"/>
      <c r="JK51" s="587"/>
      <c r="JL51" s="587"/>
      <c r="JM51" s="589"/>
      <c r="JN51" s="590"/>
      <c r="JO51" s="589"/>
      <c r="JP51" s="591"/>
      <c r="JQ51" s="591"/>
      <c r="JR51" s="591"/>
      <c r="JS51" s="591"/>
      <c r="JT51" s="591"/>
      <c r="JU51" s="591"/>
      <c r="JV51" s="591"/>
      <c r="JW51" s="591"/>
      <c r="JX51" s="591"/>
      <c r="JY51" s="591"/>
      <c r="JZ51" s="591"/>
      <c r="KA51" s="591"/>
      <c r="KB51" s="591"/>
      <c r="KC51" s="591"/>
      <c r="KD51" s="592"/>
      <c r="KE51" s="592"/>
      <c r="KF51" s="1071"/>
      <c r="KI51" s="593"/>
    </row>
    <row r="52" spans="1:295" s="49" customFormat="1" ht="15.75" hidden="1" customHeight="1" x14ac:dyDescent="0.25">
      <c r="A52" s="560"/>
      <c r="B52" s="608"/>
      <c r="C52" s="804"/>
      <c r="D52" s="802">
        <f>C52/1.2</f>
        <v>0</v>
      </c>
      <c r="E52" s="2267"/>
      <c r="F52" s="561"/>
      <c r="G52" s="562"/>
      <c r="H52" s="563"/>
      <c r="I52" s="562"/>
      <c r="J52" s="562"/>
      <c r="K52" s="562"/>
      <c r="L52" s="564"/>
      <c r="M52" s="564"/>
      <c r="N52" s="565"/>
      <c r="O52" s="564"/>
      <c r="P52" s="564"/>
      <c r="Q52" s="566"/>
      <c r="R52" s="566"/>
      <c r="S52" s="564"/>
      <c r="T52" s="564"/>
      <c r="U52" s="564"/>
      <c r="V52" s="567"/>
      <c r="W52" s="2267"/>
      <c r="X52" s="568"/>
      <c r="Y52" s="568"/>
      <c r="Z52" s="568"/>
      <c r="AA52" s="568"/>
      <c r="AB52" s="568"/>
      <c r="AC52" s="569"/>
      <c r="AD52" s="570"/>
      <c r="AE52" s="598"/>
      <c r="AF52" s="660"/>
      <c r="AG52" s="655"/>
      <c r="AH52" s="658"/>
      <c r="AI52" s="658"/>
      <c r="AJ52" s="658"/>
      <c r="AK52" s="658"/>
      <c r="AL52" s="658"/>
      <c r="AM52" s="659"/>
      <c r="AN52" s="594"/>
      <c r="AO52" s="574"/>
      <c r="AP52" s="572"/>
      <c r="AQ52" s="575"/>
      <c r="AR52" s="576"/>
      <c r="AS52" s="577"/>
      <c r="AT52" s="2285"/>
      <c r="AU52" s="584"/>
      <c r="AV52" s="578"/>
      <c r="AW52" s="579"/>
      <c r="AX52" s="580"/>
      <c r="AY52" s="579"/>
      <c r="AZ52" s="579"/>
      <c r="BA52" s="579"/>
      <c r="BB52" s="579"/>
      <c r="BC52" s="580"/>
      <c r="BD52" s="579"/>
      <c r="BE52" s="585"/>
      <c r="BF52" s="585"/>
      <c r="BG52" s="579"/>
      <c r="BH52" s="581"/>
      <c r="BI52" s="1291"/>
      <c r="BJ52" s="566"/>
      <c r="BK52" s="566"/>
      <c r="BL52" s="583"/>
      <c r="BM52" s="582"/>
      <c r="BN52" s="566"/>
      <c r="BO52" s="566"/>
      <c r="BP52" s="583"/>
      <c r="BQ52" s="578"/>
      <c r="BR52" s="579"/>
      <c r="BS52" s="567"/>
      <c r="BT52" s="581"/>
      <c r="BU52" s="709"/>
      <c r="BV52" s="567"/>
      <c r="BW52" s="579"/>
      <c r="BX52" s="579"/>
      <c r="BY52" s="579"/>
      <c r="BZ52" s="581"/>
      <c r="CA52" s="584"/>
      <c r="CB52" s="581"/>
      <c r="CC52" s="2267"/>
      <c r="CD52" s="578"/>
      <c r="CE52" s="579"/>
      <c r="CF52" s="579"/>
      <c r="CG52" s="585"/>
      <c r="CH52" s="579"/>
      <c r="CI52" s="579"/>
      <c r="CJ52" s="579"/>
      <c r="CK52" s="579"/>
      <c r="CL52" s="579"/>
      <c r="CM52" s="579"/>
      <c r="CN52" s="579"/>
      <c r="CO52" s="579"/>
      <c r="CP52" s="579"/>
      <c r="CQ52" s="579"/>
      <c r="CR52" s="579"/>
      <c r="CS52" s="579"/>
      <c r="CT52" s="579"/>
      <c r="CU52" s="579"/>
      <c r="CV52" s="579"/>
      <c r="CW52" s="579"/>
      <c r="CX52" s="579"/>
      <c r="CY52" s="579"/>
      <c r="CZ52" s="579"/>
      <c r="DA52" s="579"/>
      <c r="DB52" s="579"/>
      <c r="DC52" s="579"/>
      <c r="DD52" s="579"/>
      <c r="DE52" s="579"/>
      <c r="DF52" s="579"/>
      <c r="DG52" s="586"/>
      <c r="DH52" s="586"/>
      <c r="DI52" s="579"/>
      <c r="DJ52" s="586"/>
      <c r="DK52" s="596"/>
      <c r="DL52" s="586"/>
      <c r="DM52" s="586"/>
      <c r="DN52" s="586"/>
      <c r="DO52" s="586"/>
      <c r="DP52" s="586"/>
      <c r="DQ52" s="768"/>
      <c r="DR52" s="926"/>
      <c r="DS52" s="586"/>
      <c r="DT52" s="580"/>
      <c r="DU52" s="578"/>
      <c r="DV52" s="581"/>
      <c r="DW52" s="933"/>
      <c r="DX52" s="925"/>
      <c r="DY52" s="925"/>
      <c r="DZ52" s="925"/>
      <c r="EA52" s="925"/>
      <c r="EB52" s="925"/>
      <c r="EC52" s="925"/>
      <c r="ED52" s="586"/>
      <c r="EE52" s="768"/>
      <c r="EF52" s="584"/>
      <c r="EG52" s="581"/>
      <c r="EH52" s="919"/>
      <c r="EI52" s="925"/>
      <c r="EJ52" s="925"/>
      <c r="EK52" s="925"/>
      <c r="EL52" s="925"/>
      <c r="EM52" s="925"/>
      <c r="EN52" s="925"/>
      <c r="EO52" s="925"/>
      <c r="EP52" s="925"/>
      <c r="EQ52" s="925"/>
      <c r="ER52" s="925"/>
      <c r="ES52" s="925"/>
      <c r="ET52" s="925"/>
      <c r="EU52" s="925"/>
      <c r="EV52" s="925"/>
      <c r="EW52" s="925"/>
      <c r="EX52" s="586"/>
      <c r="EY52" s="925"/>
      <c r="EZ52" s="925"/>
      <c r="FA52" s="596"/>
      <c r="FB52" s="925"/>
      <c r="FC52" s="579"/>
      <c r="FD52" s="579"/>
      <c r="FE52" s="586"/>
      <c r="FF52" s="586"/>
      <c r="FG52" s="586"/>
      <c r="FH52" s="586"/>
      <c r="FI52" s="586"/>
      <c r="FJ52" s="586"/>
      <c r="FK52" s="586"/>
      <c r="FL52" s="586"/>
      <c r="FM52" s="586"/>
      <c r="FN52" s="586"/>
      <c r="FO52" s="586"/>
      <c r="FP52" s="586"/>
      <c r="FQ52" s="586"/>
      <c r="FR52" s="586"/>
      <c r="FS52" s="586"/>
      <c r="FT52" s="586"/>
      <c r="FU52" s="586"/>
      <c r="FV52" s="586"/>
      <c r="FW52" s="586"/>
      <c r="FX52" s="586"/>
      <c r="FY52" s="586"/>
      <c r="FZ52" s="586"/>
      <c r="GA52" s="586"/>
      <c r="GB52" s="586"/>
      <c r="GC52" s="586"/>
      <c r="GD52" s="586"/>
      <c r="GE52" s="586"/>
      <c r="GF52" s="586"/>
      <c r="GG52" s="586"/>
      <c r="GH52" s="937"/>
      <c r="GI52" s="937"/>
      <c r="GJ52" s="807"/>
      <c r="GK52" s="937"/>
      <c r="GL52" s="937"/>
      <c r="GM52" s="590"/>
      <c r="GN52" s="586"/>
      <c r="GO52" s="586"/>
      <c r="GP52" s="586"/>
      <c r="GQ52" s="586"/>
      <c r="GR52" s="586"/>
      <c r="GS52" s="586"/>
      <c r="GT52" s="586"/>
      <c r="GU52" s="586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586"/>
      <c r="HG52" s="586"/>
      <c r="HH52" s="586"/>
      <c r="HI52" s="586"/>
      <c r="HJ52" s="586"/>
      <c r="HK52" s="586"/>
      <c r="HL52" s="586"/>
      <c r="HM52" s="586"/>
      <c r="HN52" s="586"/>
      <c r="HO52" s="586"/>
      <c r="HP52" s="586"/>
      <c r="HQ52" s="586"/>
      <c r="HR52" s="586"/>
      <c r="HS52" s="586"/>
      <c r="HT52" s="586"/>
      <c r="HU52" s="586"/>
      <c r="HV52" s="586"/>
      <c r="HW52" s="586"/>
      <c r="HX52" s="586"/>
      <c r="HY52" s="586"/>
      <c r="HZ52" s="586"/>
      <c r="IA52" s="586"/>
      <c r="IB52" s="586"/>
      <c r="IC52" s="586"/>
      <c r="ID52" s="586"/>
      <c r="IE52" s="586"/>
      <c r="IF52" s="586"/>
      <c r="IG52" s="586"/>
      <c r="IH52" s="586"/>
      <c r="II52" s="586"/>
      <c r="IJ52" s="586"/>
      <c r="IK52" s="586"/>
      <c r="IL52" s="937"/>
      <c r="IM52" s="919"/>
      <c r="IN52" s="586"/>
      <c r="IO52" s="586"/>
      <c r="IP52" s="586"/>
      <c r="IQ52" s="587"/>
      <c r="IR52" s="587"/>
      <c r="IS52" s="587"/>
      <c r="IT52" s="587"/>
      <c r="IU52" s="587"/>
      <c r="IV52" s="587"/>
      <c r="IW52" s="587"/>
      <c r="IX52" s="587"/>
      <c r="IY52" s="587"/>
      <c r="IZ52" s="587"/>
      <c r="JA52" s="587"/>
      <c r="JB52" s="587"/>
      <c r="JC52" s="587"/>
      <c r="JD52" s="587"/>
      <c r="JE52" s="587"/>
      <c r="JF52" s="587"/>
      <c r="JG52" s="587"/>
      <c r="JH52" s="588"/>
      <c r="JI52" s="589"/>
      <c r="JJ52" s="587"/>
      <c r="JK52" s="587"/>
      <c r="JL52" s="587"/>
      <c r="JM52" s="589"/>
      <c r="JN52" s="590"/>
      <c r="JO52" s="589"/>
      <c r="JP52" s="591"/>
      <c r="JQ52" s="591"/>
      <c r="JR52" s="591"/>
      <c r="JS52" s="591"/>
      <c r="JT52" s="591"/>
      <c r="JU52" s="591"/>
      <c r="JV52" s="591"/>
      <c r="JW52" s="591"/>
      <c r="JX52" s="591"/>
      <c r="JY52" s="591"/>
      <c r="JZ52" s="591"/>
      <c r="KA52" s="591"/>
      <c r="KB52" s="591"/>
      <c r="KC52" s="591"/>
      <c r="KD52" s="592"/>
      <c r="KE52" s="592"/>
      <c r="KF52" s="1071"/>
      <c r="KI52" s="593"/>
    </row>
    <row r="53" spans="1:295" s="49" customFormat="1" ht="15.75" hidden="1" customHeight="1" x14ac:dyDescent="0.25">
      <c r="A53" s="560"/>
      <c r="B53" s="605"/>
      <c r="C53" s="804"/>
      <c r="D53" s="802"/>
      <c r="E53" s="2267"/>
      <c r="F53" s="561"/>
      <c r="G53" s="562"/>
      <c r="H53" s="563"/>
      <c r="I53" s="562"/>
      <c r="J53" s="562"/>
      <c r="K53" s="562"/>
      <c r="L53" s="564"/>
      <c r="M53" s="564"/>
      <c r="N53" s="565"/>
      <c r="O53" s="564"/>
      <c r="P53" s="564"/>
      <c r="Q53" s="566"/>
      <c r="R53" s="566"/>
      <c r="S53" s="564"/>
      <c r="T53" s="564"/>
      <c r="U53" s="564"/>
      <c r="V53" s="567"/>
      <c r="W53" s="2267"/>
      <c r="X53" s="568"/>
      <c r="Y53" s="568"/>
      <c r="Z53" s="568"/>
      <c r="AA53" s="568"/>
      <c r="AB53" s="568"/>
      <c r="AC53" s="569"/>
      <c r="AD53" s="570"/>
      <c r="AE53" s="598">
        <f>6.1*X53/100</f>
        <v>0</v>
      </c>
      <c r="AF53" s="654"/>
      <c r="AG53" s="655"/>
      <c r="AH53" s="658"/>
      <c r="AI53" s="658"/>
      <c r="AJ53" s="658">
        <f>24.16*X53/100</f>
        <v>0</v>
      </c>
      <c r="AK53" s="658"/>
      <c r="AL53" s="658"/>
      <c r="AM53" s="659">
        <f>41.52*X53/100</f>
        <v>0</v>
      </c>
      <c r="AN53" s="594"/>
      <c r="AO53" s="574"/>
      <c r="AP53" s="572"/>
      <c r="AQ53" s="575"/>
      <c r="AR53" s="576"/>
      <c r="AS53" s="577"/>
      <c r="AT53" s="2285"/>
      <c r="AU53" s="584"/>
      <c r="AV53" s="578"/>
      <c r="AW53" s="579"/>
      <c r="AX53" s="580"/>
      <c r="AY53" s="579"/>
      <c r="AZ53" s="579"/>
      <c r="BA53" s="579"/>
      <c r="BB53" s="579"/>
      <c r="BC53" s="580"/>
      <c r="BD53" s="579"/>
      <c r="BE53" s="585"/>
      <c r="BF53" s="585"/>
      <c r="BG53" s="579"/>
      <c r="BH53" s="581"/>
      <c r="BI53" s="1291"/>
      <c r="BJ53" s="566"/>
      <c r="BK53" s="566"/>
      <c r="BL53" s="583"/>
      <c r="BM53" s="582"/>
      <c r="BN53" s="566"/>
      <c r="BO53" s="566"/>
      <c r="BP53" s="583"/>
      <c r="BQ53" s="578"/>
      <c r="BR53" s="579"/>
      <c r="BS53" s="567"/>
      <c r="BT53" s="581"/>
      <c r="BU53" s="709"/>
      <c r="BV53" s="567"/>
      <c r="BW53" s="579"/>
      <c r="BX53" s="579"/>
      <c r="BY53" s="579"/>
      <c r="BZ53" s="581"/>
      <c r="CA53" s="584"/>
      <c r="CB53" s="581"/>
      <c r="CC53" s="2267"/>
      <c r="CD53" s="578"/>
      <c r="CE53" s="579"/>
      <c r="CF53" s="579"/>
      <c r="CG53" s="585"/>
      <c r="CH53" s="579"/>
      <c r="CI53" s="579"/>
      <c r="CJ53" s="579"/>
      <c r="CK53" s="579"/>
      <c r="CL53" s="579"/>
      <c r="CM53" s="579"/>
      <c r="CN53" s="579"/>
      <c r="CO53" s="579"/>
      <c r="CP53" s="579"/>
      <c r="CQ53" s="579"/>
      <c r="CR53" s="579"/>
      <c r="CS53" s="579"/>
      <c r="CT53" s="579"/>
      <c r="CU53" s="579"/>
      <c r="CV53" s="579"/>
      <c r="CW53" s="579"/>
      <c r="CX53" s="579"/>
      <c r="CY53" s="579"/>
      <c r="CZ53" s="579"/>
      <c r="DA53" s="579"/>
      <c r="DB53" s="579"/>
      <c r="DC53" s="579"/>
      <c r="DD53" s="579"/>
      <c r="DE53" s="579"/>
      <c r="DF53" s="579"/>
      <c r="DG53" s="586"/>
      <c r="DH53" s="586"/>
      <c r="DI53" s="579"/>
      <c r="DJ53" s="586"/>
      <c r="DK53" s="596"/>
      <c r="DL53" s="586"/>
      <c r="DM53" s="586"/>
      <c r="DN53" s="586"/>
      <c r="DO53" s="586"/>
      <c r="DP53" s="586"/>
      <c r="DQ53" s="768"/>
      <c r="DR53" s="926"/>
      <c r="DS53" s="586"/>
      <c r="DT53" s="580"/>
      <c r="DU53" s="578"/>
      <c r="DV53" s="581"/>
      <c r="DW53" s="933"/>
      <c r="DX53" s="925"/>
      <c r="DY53" s="925"/>
      <c r="DZ53" s="925"/>
      <c r="EA53" s="925"/>
      <c r="EB53" s="925"/>
      <c r="EC53" s="925"/>
      <c r="ED53" s="586"/>
      <c r="EE53" s="768"/>
      <c r="EF53" s="584"/>
      <c r="EG53" s="581"/>
      <c r="EH53" s="919"/>
      <c r="EI53" s="925"/>
      <c r="EJ53" s="925"/>
      <c r="EK53" s="925"/>
      <c r="EL53" s="925"/>
      <c r="EM53" s="925"/>
      <c r="EN53" s="925"/>
      <c r="EO53" s="925"/>
      <c r="EP53" s="925"/>
      <c r="EQ53" s="925"/>
      <c r="ER53" s="925"/>
      <c r="ES53" s="925"/>
      <c r="ET53" s="925"/>
      <c r="EU53" s="925"/>
      <c r="EV53" s="925"/>
      <c r="EW53" s="925"/>
      <c r="EX53" s="586"/>
      <c r="EY53" s="925"/>
      <c r="EZ53" s="925"/>
      <c r="FA53" s="596"/>
      <c r="FB53" s="925"/>
      <c r="FC53" s="579"/>
      <c r="FD53" s="579"/>
      <c r="FE53" s="586"/>
      <c r="FF53" s="586"/>
      <c r="FG53" s="586"/>
      <c r="FH53" s="586"/>
      <c r="FI53" s="586"/>
      <c r="FJ53" s="586"/>
      <c r="FK53" s="586"/>
      <c r="FL53" s="586"/>
      <c r="FM53" s="586"/>
      <c r="FN53" s="586"/>
      <c r="FO53" s="586"/>
      <c r="FP53" s="586"/>
      <c r="FQ53" s="586"/>
      <c r="FR53" s="586"/>
      <c r="FS53" s="586"/>
      <c r="FT53" s="586"/>
      <c r="FU53" s="586"/>
      <c r="FV53" s="586"/>
      <c r="FW53" s="586"/>
      <c r="FX53" s="586"/>
      <c r="FY53" s="586"/>
      <c r="FZ53" s="586"/>
      <c r="GA53" s="586"/>
      <c r="GB53" s="586"/>
      <c r="GC53" s="586"/>
      <c r="GD53" s="586"/>
      <c r="GE53" s="586"/>
      <c r="GF53" s="586"/>
      <c r="GG53" s="586"/>
      <c r="GH53" s="937"/>
      <c r="GI53" s="937"/>
      <c r="GJ53" s="807"/>
      <c r="GK53" s="937"/>
      <c r="GL53" s="937"/>
      <c r="GM53" s="590"/>
      <c r="GN53" s="586"/>
      <c r="GO53" s="586"/>
      <c r="GP53" s="586"/>
      <c r="GQ53" s="586"/>
      <c r="GR53" s="586"/>
      <c r="GS53" s="586"/>
      <c r="GT53" s="586"/>
      <c r="GU53" s="586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586"/>
      <c r="HG53" s="586"/>
      <c r="HH53" s="586"/>
      <c r="HI53" s="586"/>
      <c r="HJ53" s="586"/>
      <c r="HK53" s="586"/>
      <c r="HL53" s="586"/>
      <c r="HM53" s="586"/>
      <c r="HN53" s="586"/>
      <c r="HO53" s="586"/>
      <c r="HP53" s="586"/>
      <c r="HQ53" s="586"/>
      <c r="HR53" s="586"/>
      <c r="HS53" s="586"/>
      <c r="HT53" s="586"/>
      <c r="HU53" s="586"/>
      <c r="HV53" s="586"/>
      <c r="HW53" s="586"/>
      <c r="HX53" s="586"/>
      <c r="HY53" s="586"/>
      <c r="HZ53" s="586"/>
      <c r="IA53" s="586"/>
      <c r="IB53" s="586"/>
      <c r="IC53" s="586"/>
      <c r="ID53" s="586"/>
      <c r="IE53" s="586"/>
      <c r="IF53" s="586"/>
      <c r="IG53" s="586"/>
      <c r="IH53" s="586"/>
      <c r="II53" s="586"/>
      <c r="IJ53" s="586"/>
      <c r="IK53" s="586"/>
      <c r="IL53" s="937"/>
      <c r="IM53" s="919"/>
      <c r="IN53" s="586"/>
      <c r="IO53" s="586"/>
      <c r="IP53" s="586"/>
      <c r="IQ53" s="587"/>
      <c r="IR53" s="587"/>
      <c r="IS53" s="587"/>
      <c r="IT53" s="587"/>
      <c r="IU53" s="587"/>
      <c r="IV53" s="587"/>
      <c r="IW53" s="587"/>
      <c r="IX53" s="587"/>
      <c r="IY53" s="587"/>
      <c r="IZ53" s="587"/>
      <c r="JA53" s="587"/>
      <c r="JB53" s="587"/>
      <c r="JC53" s="587"/>
      <c r="JD53" s="587"/>
      <c r="JE53" s="587"/>
      <c r="JF53" s="587"/>
      <c r="JG53" s="587"/>
      <c r="JH53" s="588"/>
      <c r="JI53" s="589"/>
      <c r="JJ53" s="587"/>
      <c r="JK53" s="587"/>
      <c r="JL53" s="587"/>
      <c r="JM53" s="589"/>
      <c r="JN53" s="590"/>
      <c r="JO53" s="589"/>
      <c r="JP53" s="591"/>
      <c r="JQ53" s="591"/>
      <c r="JR53" s="591"/>
      <c r="JS53" s="591"/>
      <c r="JT53" s="591"/>
      <c r="JU53" s="591"/>
      <c r="JV53" s="591"/>
      <c r="JW53" s="591"/>
      <c r="JX53" s="591"/>
      <c r="JY53" s="591"/>
      <c r="JZ53" s="591"/>
      <c r="KA53" s="591"/>
      <c r="KB53" s="591"/>
      <c r="KC53" s="591"/>
      <c r="KD53" s="592"/>
      <c r="KE53" s="592"/>
      <c r="KF53" s="1071"/>
      <c r="KI53" s="593"/>
    </row>
    <row r="54" spans="1:295" s="49" customFormat="1" ht="15.75" hidden="1" customHeight="1" x14ac:dyDescent="0.25">
      <c r="A54" s="560"/>
      <c r="B54" s="609"/>
      <c r="C54" s="804"/>
      <c r="D54" s="805"/>
      <c r="E54" s="2267"/>
      <c r="F54" s="561"/>
      <c r="G54" s="562"/>
      <c r="H54" s="563"/>
      <c r="I54" s="562"/>
      <c r="J54" s="562"/>
      <c r="K54" s="562"/>
      <c r="L54" s="564"/>
      <c r="M54" s="564"/>
      <c r="N54" s="565"/>
      <c r="O54" s="564"/>
      <c r="P54" s="564"/>
      <c r="Q54" s="566"/>
      <c r="R54" s="566"/>
      <c r="S54" s="564"/>
      <c r="T54" s="564"/>
      <c r="U54" s="564"/>
      <c r="V54" s="567"/>
      <c r="W54" s="2267"/>
      <c r="X54" s="568"/>
      <c r="Y54" s="568"/>
      <c r="Z54" s="568"/>
      <c r="AA54" s="568"/>
      <c r="AB54" s="568"/>
      <c r="AC54" s="569"/>
      <c r="AD54" s="570"/>
      <c r="AE54" s="599">
        <f>X54*4.1/100</f>
        <v>0</v>
      </c>
      <c r="AF54" s="568"/>
      <c r="AG54" s="652"/>
      <c r="AH54" s="569"/>
      <c r="AI54" s="569"/>
      <c r="AJ54" s="569">
        <f>X54*24.67/100</f>
        <v>0</v>
      </c>
      <c r="AK54" s="569">
        <f>X54*17.37/100</f>
        <v>0</v>
      </c>
      <c r="AL54" s="569"/>
      <c r="AM54" s="653">
        <f>X54*24.78/100</f>
        <v>0</v>
      </c>
      <c r="AN54" s="601">
        <f>X54*1.92/100</f>
        <v>0</v>
      </c>
      <c r="AO54" s="574"/>
      <c r="AP54" s="572"/>
      <c r="AQ54" s="575"/>
      <c r="AR54" s="576"/>
      <c r="AS54" s="577"/>
      <c r="AT54" s="2285"/>
      <c r="AU54" s="584"/>
      <c r="AV54" s="578"/>
      <c r="AW54" s="579"/>
      <c r="AX54" s="580"/>
      <c r="AY54" s="579"/>
      <c r="AZ54" s="579"/>
      <c r="BA54" s="579"/>
      <c r="BB54" s="566"/>
      <c r="BC54" s="580"/>
      <c r="BD54" s="579"/>
      <c r="BE54" s="585"/>
      <c r="BF54" s="585"/>
      <c r="BG54" s="579"/>
      <c r="BH54" s="581"/>
      <c r="BI54" s="1291"/>
      <c r="BJ54" s="566"/>
      <c r="BK54" s="566"/>
      <c r="BL54" s="583"/>
      <c r="BM54" s="582"/>
      <c r="BN54" s="566"/>
      <c r="BO54" s="566"/>
      <c r="BP54" s="583"/>
      <c r="BQ54" s="578"/>
      <c r="BR54" s="566"/>
      <c r="BS54" s="567"/>
      <c r="BT54" s="583"/>
      <c r="BU54" s="709"/>
      <c r="BV54" s="567"/>
      <c r="BW54" s="579"/>
      <c r="BX54" s="579"/>
      <c r="BY54" s="579"/>
      <c r="BZ54" s="581"/>
      <c r="CA54" s="584"/>
      <c r="CB54" s="583"/>
      <c r="CC54" s="2267"/>
      <c r="CD54" s="578"/>
      <c r="CE54" s="579"/>
      <c r="CF54" s="579"/>
      <c r="CG54" s="585"/>
      <c r="CH54" s="579"/>
      <c r="CI54" s="579"/>
      <c r="CJ54" s="579"/>
      <c r="CK54" s="579"/>
      <c r="CL54" s="579"/>
      <c r="CM54" s="579"/>
      <c r="CN54" s="579"/>
      <c r="CO54" s="579"/>
      <c r="CP54" s="579"/>
      <c r="CQ54" s="579"/>
      <c r="CR54" s="579"/>
      <c r="CS54" s="579"/>
      <c r="CT54" s="579"/>
      <c r="CU54" s="579"/>
      <c r="CV54" s="579"/>
      <c r="CW54" s="579"/>
      <c r="CX54" s="579"/>
      <c r="CY54" s="579"/>
      <c r="CZ54" s="579"/>
      <c r="DA54" s="579"/>
      <c r="DB54" s="579"/>
      <c r="DC54" s="579"/>
      <c r="DD54" s="579"/>
      <c r="DE54" s="579"/>
      <c r="DF54" s="579"/>
      <c r="DG54" s="586"/>
      <c r="DH54" s="586"/>
      <c r="DI54" s="579"/>
      <c r="DJ54" s="586"/>
      <c r="DK54" s="596"/>
      <c r="DL54" s="586"/>
      <c r="DM54" s="586"/>
      <c r="DN54" s="586"/>
      <c r="DO54" s="586"/>
      <c r="DP54" s="586"/>
      <c r="DQ54" s="768"/>
      <c r="DR54" s="926"/>
      <c r="DS54" s="586"/>
      <c r="DT54" s="580"/>
      <c r="DU54" s="578"/>
      <c r="DV54" s="581"/>
      <c r="DW54" s="933"/>
      <c r="DX54" s="925"/>
      <c r="DY54" s="925"/>
      <c r="DZ54" s="925"/>
      <c r="EA54" s="925"/>
      <c r="EB54" s="925"/>
      <c r="EC54" s="925"/>
      <c r="ED54" s="586"/>
      <c r="EE54" s="768"/>
      <c r="EF54" s="584"/>
      <c r="EG54" s="581"/>
      <c r="EH54" s="919"/>
      <c r="EI54" s="925"/>
      <c r="EJ54" s="925"/>
      <c r="EK54" s="925"/>
      <c r="EL54" s="925"/>
      <c r="EM54" s="925"/>
      <c r="EN54" s="925"/>
      <c r="EO54" s="925"/>
      <c r="EP54" s="925"/>
      <c r="EQ54" s="925"/>
      <c r="ER54" s="925"/>
      <c r="ES54" s="925"/>
      <c r="ET54" s="925"/>
      <c r="EU54" s="925"/>
      <c r="EV54" s="925"/>
      <c r="EW54" s="925"/>
      <c r="EX54" s="586"/>
      <c r="EY54" s="925"/>
      <c r="EZ54" s="925"/>
      <c r="FA54" s="596"/>
      <c r="FB54" s="925"/>
      <c r="FC54" s="579"/>
      <c r="FD54" s="579"/>
      <c r="FE54" s="586"/>
      <c r="FF54" s="586"/>
      <c r="FG54" s="586"/>
      <c r="FH54" s="586"/>
      <c r="FI54" s="586"/>
      <c r="FJ54" s="586"/>
      <c r="FK54" s="586"/>
      <c r="FL54" s="586"/>
      <c r="FM54" s="586"/>
      <c r="FN54" s="586"/>
      <c r="FO54" s="586"/>
      <c r="FP54" s="586"/>
      <c r="FQ54" s="586"/>
      <c r="FR54" s="586"/>
      <c r="FS54" s="586"/>
      <c r="FT54" s="586"/>
      <c r="FU54" s="586"/>
      <c r="FV54" s="586"/>
      <c r="FW54" s="586"/>
      <c r="FX54" s="586"/>
      <c r="FY54" s="586"/>
      <c r="FZ54" s="586"/>
      <c r="GA54" s="586"/>
      <c r="GB54" s="586"/>
      <c r="GC54" s="586"/>
      <c r="GD54" s="586"/>
      <c r="GE54" s="586"/>
      <c r="GF54" s="586"/>
      <c r="GG54" s="586"/>
      <c r="GH54" s="937"/>
      <c r="GI54" s="937"/>
      <c r="GJ54" s="807"/>
      <c r="GK54" s="937"/>
      <c r="GL54" s="937"/>
      <c r="GM54" s="590"/>
      <c r="GN54" s="586"/>
      <c r="GO54" s="586"/>
      <c r="GP54" s="586"/>
      <c r="GQ54" s="586"/>
      <c r="GR54" s="586"/>
      <c r="GS54" s="586"/>
      <c r="GT54" s="586"/>
      <c r="GU54" s="586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586"/>
      <c r="HG54" s="586"/>
      <c r="HH54" s="586"/>
      <c r="HI54" s="586"/>
      <c r="HJ54" s="586"/>
      <c r="HK54" s="586"/>
      <c r="HL54" s="586"/>
      <c r="HM54" s="586"/>
      <c r="HN54" s="586"/>
      <c r="HO54" s="586"/>
      <c r="HP54" s="586"/>
      <c r="HQ54" s="586"/>
      <c r="HR54" s="586"/>
      <c r="HS54" s="586"/>
      <c r="HT54" s="586"/>
      <c r="HU54" s="586"/>
      <c r="HV54" s="586"/>
      <c r="HW54" s="586"/>
      <c r="HX54" s="586"/>
      <c r="HY54" s="586"/>
      <c r="HZ54" s="586"/>
      <c r="IA54" s="586"/>
      <c r="IB54" s="586"/>
      <c r="IC54" s="586"/>
      <c r="ID54" s="586"/>
      <c r="IE54" s="586"/>
      <c r="IF54" s="586"/>
      <c r="IG54" s="586"/>
      <c r="IH54" s="586"/>
      <c r="II54" s="586"/>
      <c r="IJ54" s="586"/>
      <c r="IK54" s="586"/>
      <c r="IL54" s="937"/>
      <c r="IM54" s="919"/>
      <c r="IN54" s="586"/>
      <c r="IO54" s="586"/>
      <c r="IP54" s="586"/>
      <c r="IQ54" s="587"/>
      <c r="IR54" s="587"/>
      <c r="IS54" s="587"/>
      <c r="IT54" s="587"/>
      <c r="IU54" s="587"/>
      <c r="IV54" s="587"/>
      <c r="IW54" s="587"/>
      <c r="IX54" s="587"/>
      <c r="IY54" s="587"/>
      <c r="IZ54" s="587"/>
      <c r="JA54" s="587"/>
      <c r="JB54" s="587"/>
      <c r="JC54" s="587"/>
      <c r="JD54" s="587"/>
      <c r="JE54" s="587"/>
      <c r="JF54" s="587"/>
      <c r="JG54" s="587"/>
      <c r="JH54" s="588"/>
      <c r="JI54" s="589"/>
      <c r="JJ54" s="587"/>
      <c r="JK54" s="587"/>
      <c r="JL54" s="587"/>
      <c r="JM54" s="589"/>
      <c r="JN54" s="590"/>
      <c r="JO54" s="589"/>
      <c r="JP54" s="591"/>
      <c r="JQ54" s="591"/>
      <c r="JR54" s="591"/>
      <c r="JS54" s="591"/>
      <c r="JT54" s="591"/>
      <c r="JU54" s="591"/>
      <c r="JV54" s="591"/>
      <c r="JW54" s="591"/>
      <c r="JX54" s="591"/>
      <c r="JY54" s="591"/>
      <c r="JZ54" s="591"/>
      <c r="KA54" s="591"/>
      <c r="KB54" s="591"/>
      <c r="KC54" s="591"/>
      <c r="KD54" s="592"/>
      <c r="KE54" s="592"/>
      <c r="KF54" s="1071"/>
      <c r="KI54" s="593"/>
    </row>
    <row r="55" spans="1:295" s="49" customFormat="1" ht="15.75" hidden="1" customHeight="1" x14ac:dyDescent="0.25">
      <c r="A55" s="560"/>
      <c r="B55" s="610"/>
      <c r="C55" s="804"/>
      <c r="D55" s="805"/>
      <c r="E55" s="2267"/>
      <c r="F55" s="561"/>
      <c r="G55" s="562"/>
      <c r="H55" s="563"/>
      <c r="I55" s="562"/>
      <c r="J55" s="562"/>
      <c r="K55" s="562"/>
      <c r="L55" s="564"/>
      <c r="M55" s="564"/>
      <c r="N55" s="565"/>
      <c r="O55" s="564"/>
      <c r="P55" s="564"/>
      <c r="Q55" s="566"/>
      <c r="R55" s="566"/>
      <c r="S55" s="564"/>
      <c r="T55" s="564"/>
      <c r="U55" s="564"/>
      <c r="V55" s="567"/>
      <c r="W55" s="2267"/>
      <c r="X55" s="568"/>
      <c r="Y55" s="568"/>
      <c r="Z55" s="568"/>
      <c r="AA55" s="568"/>
      <c r="AB55" s="568"/>
      <c r="AC55" s="569"/>
      <c r="AD55" s="570"/>
      <c r="AE55" s="599"/>
      <c r="AF55" s="638"/>
      <c r="AG55" s="652"/>
      <c r="AH55" s="569"/>
      <c r="AI55" s="569"/>
      <c r="AJ55" s="569"/>
      <c r="AK55" s="569"/>
      <c r="AL55" s="569"/>
      <c r="AM55" s="653"/>
      <c r="AN55" s="601"/>
      <c r="AO55" s="574"/>
      <c r="AP55" s="572"/>
      <c r="AQ55" s="575"/>
      <c r="AR55" s="576"/>
      <c r="AS55" s="577"/>
      <c r="AT55" s="2285"/>
      <c r="AU55" s="584"/>
      <c r="AV55" s="578"/>
      <c r="AW55" s="579"/>
      <c r="AX55" s="580"/>
      <c r="AY55" s="579"/>
      <c r="AZ55" s="579"/>
      <c r="BA55" s="579"/>
      <c r="BB55" s="566"/>
      <c r="BC55" s="580"/>
      <c r="BD55" s="579"/>
      <c r="BE55" s="585"/>
      <c r="BF55" s="585"/>
      <c r="BG55" s="579"/>
      <c r="BH55" s="581"/>
      <c r="BI55" s="1291"/>
      <c r="BJ55" s="566"/>
      <c r="BK55" s="566"/>
      <c r="BL55" s="583"/>
      <c r="BM55" s="582"/>
      <c r="BN55" s="566"/>
      <c r="BO55" s="566"/>
      <c r="BP55" s="583"/>
      <c r="BQ55" s="578"/>
      <c r="BR55" s="566"/>
      <c r="BS55" s="567"/>
      <c r="BT55" s="583"/>
      <c r="BU55" s="709"/>
      <c r="BV55" s="567"/>
      <c r="BW55" s="579"/>
      <c r="BX55" s="579"/>
      <c r="BY55" s="579"/>
      <c r="BZ55" s="581"/>
      <c r="CA55" s="584"/>
      <c r="CB55" s="583"/>
      <c r="CC55" s="2267"/>
      <c r="CD55" s="578"/>
      <c r="CE55" s="579"/>
      <c r="CF55" s="579"/>
      <c r="CG55" s="585"/>
      <c r="CH55" s="579"/>
      <c r="CI55" s="579"/>
      <c r="CJ55" s="579"/>
      <c r="CK55" s="579"/>
      <c r="CL55" s="579"/>
      <c r="CM55" s="579"/>
      <c r="CN55" s="579"/>
      <c r="CO55" s="579"/>
      <c r="CP55" s="579"/>
      <c r="CQ55" s="579"/>
      <c r="CR55" s="579"/>
      <c r="CS55" s="579"/>
      <c r="CT55" s="579"/>
      <c r="CU55" s="579"/>
      <c r="CV55" s="579"/>
      <c r="CW55" s="579"/>
      <c r="CX55" s="579"/>
      <c r="CY55" s="579"/>
      <c r="CZ55" s="579"/>
      <c r="DA55" s="579"/>
      <c r="DB55" s="579"/>
      <c r="DC55" s="579"/>
      <c r="DD55" s="579"/>
      <c r="DE55" s="579"/>
      <c r="DF55" s="579"/>
      <c r="DG55" s="586"/>
      <c r="DH55" s="586"/>
      <c r="DI55" s="579"/>
      <c r="DJ55" s="586"/>
      <c r="DK55" s="596"/>
      <c r="DL55" s="586"/>
      <c r="DM55" s="586"/>
      <c r="DN55" s="586"/>
      <c r="DO55" s="586"/>
      <c r="DP55" s="586"/>
      <c r="DQ55" s="768"/>
      <c r="DR55" s="926"/>
      <c r="DS55" s="586"/>
      <c r="DT55" s="580"/>
      <c r="DU55" s="578"/>
      <c r="DV55" s="581"/>
      <c r="DW55" s="933"/>
      <c r="DX55" s="925"/>
      <c r="DY55" s="925"/>
      <c r="DZ55" s="925"/>
      <c r="EA55" s="925"/>
      <c r="EB55" s="925"/>
      <c r="EC55" s="925"/>
      <c r="ED55" s="586"/>
      <c r="EE55" s="768"/>
      <c r="EF55" s="584"/>
      <c r="EG55" s="581"/>
      <c r="EH55" s="919"/>
      <c r="EI55" s="925"/>
      <c r="EJ55" s="925"/>
      <c r="EK55" s="925"/>
      <c r="EL55" s="925"/>
      <c r="EM55" s="925"/>
      <c r="EN55" s="925"/>
      <c r="EO55" s="925"/>
      <c r="EP55" s="925"/>
      <c r="EQ55" s="925"/>
      <c r="ER55" s="925"/>
      <c r="ES55" s="925"/>
      <c r="ET55" s="925"/>
      <c r="EU55" s="925"/>
      <c r="EV55" s="925"/>
      <c r="EW55" s="925"/>
      <c r="EX55" s="586"/>
      <c r="EY55" s="925"/>
      <c r="EZ55" s="925"/>
      <c r="FA55" s="596"/>
      <c r="FB55" s="925"/>
      <c r="FC55" s="579"/>
      <c r="FD55" s="579"/>
      <c r="FE55" s="586"/>
      <c r="FF55" s="586"/>
      <c r="FG55" s="586"/>
      <c r="FH55" s="586"/>
      <c r="FI55" s="586"/>
      <c r="FJ55" s="586"/>
      <c r="FK55" s="586"/>
      <c r="FL55" s="586"/>
      <c r="FM55" s="586"/>
      <c r="FN55" s="586"/>
      <c r="FO55" s="586"/>
      <c r="FP55" s="586"/>
      <c r="FQ55" s="586"/>
      <c r="FR55" s="586"/>
      <c r="FS55" s="586"/>
      <c r="FT55" s="586"/>
      <c r="FU55" s="586"/>
      <c r="FV55" s="586"/>
      <c r="FW55" s="586"/>
      <c r="FX55" s="586"/>
      <c r="FY55" s="586"/>
      <c r="FZ55" s="586"/>
      <c r="GA55" s="586"/>
      <c r="GB55" s="586"/>
      <c r="GC55" s="586"/>
      <c r="GD55" s="586"/>
      <c r="GE55" s="586"/>
      <c r="GF55" s="586"/>
      <c r="GG55" s="586"/>
      <c r="GH55" s="937"/>
      <c r="GI55" s="937"/>
      <c r="GJ55" s="807"/>
      <c r="GK55" s="937"/>
      <c r="GL55" s="937"/>
      <c r="GM55" s="590"/>
      <c r="GN55" s="586"/>
      <c r="GO55" s="586"/>
      <c r="GP55" s="586"/>
      <c r="GQ55" s="586"/>
      <c r="GR55" s="586"/>
      <c r="GS55" s="586"/>
      <c r="GT55" s="586"/>
      <c r="GU55" s="586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586"/>
      <c r="HG55" s="586"/>
      <c r="HH55" s="586"/>
      <c r="HI55" s="586"/>
      <c r="HJ55" s="586"/>
      <c r="HK55" s="586"/>
      <c r="HL55" s="586"/>
      <c r="HM55" s="586"/>
      <c r="HN55" s="586"/>
      <c r="HO55" s="586"/>
      <c r="HP55" s="586"/>
      <c r="HQ55" s="586"/>
      <c r="HR55" s="586"/>
      <c r="HS55" s="586"/>
      <c r="HT55" s="586"/>
      <c r="HU55" s="586"/>
      <c r="HV55" s="586"/>
      <c r="HW55" s="586"/>
      <c r="HX55" s="586"/>
      <c r="HY55" s="586"/>
      <c r="HZ55" s="586"/>
      <c r="IA55" s="586"/>
      <c r="IB55" s="586"/>
      <c r="IC55" s="586"/>
      <c r="ID55" s="586"/>
      <c r="IE55" s="586"/>
      <c r="IF55" s="586"/>
      <c r="IG55" s="586"/>
      <c r="IH55" s="586"/>
      <c r="II55" s="586"/>
      <c r="IJ55" s="586"/>
      <c r="IK55" s="586"/>
      <c r="IL55" s="937"/>
      <c r="IM55" s="919"/>
      <c r="IN55" s="586"/>
      <c r="IO55" s="586"/>
      <c r="IP55" s="586"/>
      <c r="IQ55" s="587"/>
      <c r="IR55" s="587"/>
      <c r="IS55" s="587"/>
      <c r="IT55" s="587"/>
      <c r="IU55" s="587"/>
      <c r="IV55" s="587"/>
      <c r="IW55" s="587"/>
      <c r="IX55" s="587"/>
      <c r="IY55" s="587"/>
      <c r="IZ55" s="587"/>
      <c r="JA55" s="587"/>
      <c r="JB55" s="587"/>
      <c r="JC55" s="587"/>
      <c r="JD55" s="587"/>
      <c r="JE55" s="587"/>
      <c r="JF55" s="587"/>
      <c r="JG55" s="587"/>
      <c r="JH55" s="588"/>
      <c r="JI55" s="589"/>
      <c r="JJ55" s="587"/>
      <c r="JK55" s="587"/>
      <c r="JL55" s="587"/>
      <c r="JM55" s="589"/>
      <c r="JN55" s="590"/>
      <c r="JO55" s="589"/>
      <c r="JP55" s="591"/>
      <c r="JQ55" s="591"/>
      <c r="JR55" s="591"/>
      <c r="JS55" s="591"/>
      <c r="JT55" s="591"/>
      <c r="JU55" s="591"/>
      <c r="JV55" s="591"/>
      <c r="JW55" s="591"/>
      <c r="JX55" s="591"/>
      <c r="JY55" s="591"/>
      <c r="JZ55" s="591"/>
      <c r="KA55" s="591"/>
      <c r="KB55" s="591"/>
      <c r="KC55" s="591"/>
      <c r="KD55" s="592"/>
      <c r="KE55" s="592"/>
      <c r="KF55" s="1071"/>
      <c r="KI55" s="593"/>
    </row>
    <row r="56" spans="1:295" s="49" customFormat="1" ht="15.75" hidden="1" customHeight="1" x14ac:dyDescent="0.25">
      <c r="A56" s="560"/>
      <c r="B56" s="607"/>
      <c r="C56" s="804"/>
      <c r="D56" s="806">
        <f>C56/1.2</f>
        <v>0</v>
      </c>
      <c r="E56" s="2267"/>
      <c r="F56" s="561"/>
      <c r="G56" s="562"/>
      <c r="H56" s="563"/>
      <c r="I56" s="562"/>
      <c r="J56" s="562"/>
      <c r="K56" s="562"/>
      <c r="L56" s="564"/>
      <c r="M56" s="564"/>
      <c r="N56" s="565"/>
      <c r="O56" s="564"/>
      <c r="P56" s="564"/>
      <c r="Q56" s="566"/>
      <c r="R56" s="566"/>
      <c r="S56" s="564"/>
      <c r="T56" s="564"/>
      <c r="U56" s="564"/>
      <c r="V56" s="567"/>
      <c r="W56" s="2267"/>
      <c r="X56" s="568"/>
      <c r="Y56" s="568"/>
      <c r="Z56" s="568"/>
      <c r="AA56" s="568"/>
      <c r="AB56" s="568"/>
      <c r="AC56" s="569"/>
      <c r="AD56" s="570"/>
      <c r="AE56" s="598"/>
      <c r="AF56" s="660"/>
      <c r="AG56" s="655"/>
      <c r="AH56" s="658"/>
      <c r="AI56" s="658"/>
      <c r="AJ56" s="658"/>
      <c r="AK56" s="658"/>
      <c r="AL56" s="658"/>
      <c r="AM56" s="659"/>
      <c r="AN56" s="594"/>
      <c r="AO56" s="574"/>
      <c r="AP56" s="572"/>
      <c r="AQ56" s="575"/>
      <c r="AR56" s="576"/>
      <c r="AS56" s="577"/>
      <c r="AT56" s="2285"/>
      <c r="AU56" s="584"/>
      <c r="AV56" s="578"/>
      <c r="AW56" s="579"/>
      <c r="AX56" s="580"/>
      <c r="AY56" s="579"/>
      <c r="AZ56" s="579"/>
      <c r="BA56" s="579"/>
      <c r="BB56" s="566"/>
      <c r="BC56" s="580"/>
      <c r="BD56" s="579"/>
      <c r="BE56" s="585"/>
      <c r="BF56" s="585"/>
      <c r="BG56" s="579"/>
      <c r="BH56" s="581"/>
      <c r="BI56" s="1291"/>
      <c r="BJ56" s="566"/>
      <c r="BK56" s="566"/>
      <c r="BL56" s="583"/>
      <c r="BM56" s="582"/>
      <c r="BN56" s="566"/>
      <c r="BO56" s="566"/>
      <c r="BP56" s="583"/>
      <c r="BQ56" s="578"/>
      <c r="BR56" s="566"/>
      <c r="BS56" s="567"/>
      <c r="BT56" s="583"/>
      <c r="BU56" s="709"/>
      <c r="BV56" s="567"/>
      <c r="BW56" s="579"/>
      <c r="BX56" s="579"/>
      <c r="BY56" s="579"/>
      <c r="BZ56" s="581"/>
      <c r="CA56" s="584"/>
      <c r="CB56" s="583"/>
      <c r="CC56" s="2267"/>
      <c r="CD56" s="578"/>
      <c r="CE56" s="579"/>
      <c r="CF56" s="579"/>
      <c r="CG56" s="585"/>
      <c r="CH56" s="579"/>
      <c r="CI56" s="579"/>
      <c r="CJ56" s="579"/>
      <c r="CK56" s="579"/>
      <c r="CL56" s="579"/>
      <c r="CM56" s="579"/>
      <c r="CN56" s="579"/>
      <c r="CO56" s="579"/>
      <c r="CP56" s="579"/>
      <c r="CQ56" s="579"/>
      <c r="CR56" s="579"/>
      <c r="CS56" s="579"/>
      <c r="CT56" s="579"/>
      <c r="CU56" s="579"/>
      <c r="CV56" s="579"/>
      <c r="CW56" s="579"/>
      <c r="CX56" s="579"/>
      <c r="CY56" s="579"/>
      <c r="CZ56" s="579"/>
      <c r="DA56" s="579"/>
      <c r="DB56" s="579"/>
      <c r="DC56" s="579"/>
      <c r="DD56" s="579"/>
      <c r="DE56" s="579"/>
      <c r="DF56" s="579"/>
      <c r="DG56" s="586"/>
      <c r="DH56" s="586"/>
      <c r="DI56" s="579"/>
      <c r="DJ56" s="586"/>
      <c r="DK56" s="596"/>
      <c r="DL56" s="586"/>
      <c r="DM56" s="586"/>
      <c r="DN56" s="586"/>
      <c r="DO56" s="586"/>
      <c r="DP56" s="586"/>
      <c r="DQ56" s="768"/>
      <c r="DR56" s="926"/>
      <c r="DS56" s="586"/>
      <c r="DT56" s="580"/>
      <c r="DU56" s="578"/>
      <c r="DV56" s="581"/>
      <c r="DW56" s="933"/>
      <c r="DX56" s="925"/>
      <c r="DY56" s="925"/>
      <c r="DZ56" s="925"/>
      <c r="EA56" s="925"/>
      <c r="EB56" s="925"/>
      <c r="EC56" s="925"/>
      <c r="ED56" s="586"/>
      <c r="EE56" s="768"/>
      <c r="EF56" s="584"/>
      <c r="EG56" s="581"/>
      <c r="EH56" s="919"/>
      <c r="EI56" s="925"/>
      <c r="EJ56" s="925"/>
      <c r="EK56" s="925"/>
      <c r="EL56" s="925"/>
      <c r="EM56" s="925"/>
      <c r="EN56" s="925"/>
      <c r="EO56" s="925"/>
      <c r="EP56" s="925"/>
      <c r="EQ56" s="925"/>
      <c r="ER56" s="925"/>
      <c r="ES56" s="925"/>
      <c r="ET56" s="925"/>
      <c r="EU56" s="925"/>
      <c r="EV56" s="925"/>
      <c r="EW56" s="925"/>
      <c r="EX56" s="586"/>
      <c r="EY56" s="925"/>
      <c r="EZ56" s="925"/>
      <c r="FA56" s="596"/>
      <c r="FB56" s="925"/>
      <c r="FC56" s="579"/>
      <c r="FD56" s="579"/>
      <c r="FE56" s="586"/>
      <c r="FF56" s="586"/>
      <c r="FG56" s="586"/>
      <c r="FH56" s="586"/>
      <c r="FI56" s="586"/>
      <c r="FJ56" s="586"/>
      <c r="FK56" s="586"/>
      <c r="FL56" s="586"/>
      <c r="FM56" s="586"/>
      <c r="FN56" s="586"/>
      <c r="FO56" s="586"/>
      <c r="FP56" s="586"/>
      <c r="FQ56" s="586"/>
      <c r="FR56" s="586"/>
      <c r="FS56" s="586"/>
      <c r="FT56" s="586"/>
      <c r="FU56" s="586"/>
      <c r="FV56" s="586"/>
      <c r="FW56" s="586"/>
      <c r="FX56" s="586"/>
      <c r="FY56" s="586"/>
      <c r="FZ56" s="586"/>
      <c r="GA56" s="586"/>
      <c r="GB56" s="586"/>
      <c r="GC56" s="586"/>
      <c r="GD56" s="586"/>
      <c r="GE56" s="586"/>
      <c r="GF56" s="586"/>
      <c r="GG56" s="586"/>
      <c r="GH56" s="937"/>
      <c r="GI56" s="937"/>
      <c r="GJ56" s="807"/>
      <c r="GK56" s="937"/>
      <c r="GL56" s="937"/>
      <c r="GM56" s="590"/>
      <c r="GN56" s="586"/>
      <c r="GO56" s="586"/>
      <c r="GP56" s="586"/>
      <c r="GQ56" s="586"/>
      <c r="GR56" s="586"/>
      <c r="GS56" s="586"/>
      <c r="GT56" s="586"/>
      <c r="GU56" s="586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586"/>
      <c r="HG56" s="586"/>
      <c r="HH56" s="586"/>
      <c r="HI56" s="586"/>
      <c r="HJ56" s="586"/>
      <c r="HK56" s="586"/>
      <c r="HL56" s="586"/>
      <c r="HM56" s="586"/>
      <c r="HN56" s="586"/>
      <c r="HO56" s="586"/>
      <c r="HP56" s="586"/>
      <c r="HQ56" s="586"/>
      <c r="HR56" s="586"/>
      <c r="HS56" s="586"/>
      <c r="HT56" s="586"/>
      <c r="HU56" s="586"/>
      <c r="HV56" s="586"/>
      <c r="HW56" s="586"/>
      <c r="HX56" s="586"/>
      <c r="HY56" s="586"/>
      <c r="HZ56" s="586"/>
      <c r="IA56" s="586"/>
      <c r="IB56" s="586"/>
      <c r="IC56" s="586"/>
      <c r="ID56" s="586"/>
      <c r="IE56" s="586"/>
      <c r="IF56" s="586"/>
      <c r="IG56" s="586"/>
      <c r="IH56" s="586"/>
      <c r="II56" s="586"/>
      <c r="IJ56" s="586"/>
      <c r="IK56" s="586"/>
      <c r="IL56" s="937"/>
      <c r="IM56" s="919"/>
      <c r="IN56" s="586"/>
      <c r="IO56" s="586"/>
      <c r="IP56" s="586"/>
      <c r="IQ56" s="587"/>
      <c r="IR56" s="587"/>
      <c r="IS56" s="587"/>
      <c r="IT56" s="587"/>
      <c r="IU56" s="587"/>
      <c r="IV56" s="587"/>
      <c r="IW56" s="587"/>
      <c r="IX56" s="587"/>
      <c r="IY56" s="587"/>
      <c r="IZ56" s="587"/>
      <c r="JA56" s="587"/>
      <c r="JB56" s="587"/>
      <c r="JC56" s="587"/>
      <c r="JD56" s="587"/>
      <c r="JE56" s="587"/>
      <c r="JF56" s="587"/>
      <c r="JG56" s="587"/>
      <c r="JH56" s="588"/>
      <c r="JI56" s="589"/>
      <c r="JJ56" s="587"/>
      <c r="JK56" s="587"/>
      <c r="JL56" s="587"/>
      <c r="JM56" s="589"/>
      <c r="JN56" s="590"/>
      <c r="JO56" s="589"/>
      <c r="JP56" s="591"/>
      <c r="JQ56" s="591"/>
      <c r="JR56" s="591"/>
      <c r="JS56" s="591"/>
      <c r="JT56" s="591"/>
      <c r="JU56" s="591"/>
      <c r="JV56" s="591"/>
      <c r="JW56" s="591"/>
      <c r="JX56" s="591"/>
      <c r="JY56" s="591"/>
      <c r="JZ56" s="591"/>
      <c r="KA56" s="591"/>
      <c r="KB56" s="591"/>
      <c r="KC56" s="591"/>
      <c r="KD56" s="592"/>
      <c r="KE56" s="592"/>
      <c r="KF56" s="1071"/>
      <c r="KI56" s="593"/>
    </row>
    <row r="57" spans="1:295" s="49" customFormat="1" ht="15.75" hidden="1" customHeight="1" x14ac:dyDescent="0.25">
      <c r="A57" s="560"/>
      <c r="B57" s="605"/>
      <c r="C57" s="804"/>
      <c r="D57" s="802"/>
      <c r="E57" s="2267"/>
      <c r="F57" s="561"/>
      <c r="G57" s="562"/>
      <c r="H57" s="563"/>
      <c r="I57" s="562"/>
      <c r="J57" s="562"/>
      <c r="K57" s="562"/>
      <c r="L57" s="564"/>
      <c r="M57" s="564"/>
      <c r="N57" s="565"/>
      <c r="O57" s="564"/>
      <c r="P57" s="564"/>
      <c r="Q57" s="566"/>
      <c r="R57" s="566"/>
      <c r="S57" s="564"/>
      <c r="T57" s="564"/>
      <c r="U57" s="564"/>
      <c r="V57" s="567"/>
      <c r="W57" s="2267"/>
      <c r="X57" s="568"/>
      <c r="Y57" s="568"/>
      <c r="Z57" s="568"/>
      <c r="AA57" s="568"/>
      <c r="AB57" s="568"/>
      <c r="AC57" s="569"/>
      <c r="AD57" s="570"/>
      <c r="AE57" s="598">
        <f>6.1*X57/100</f>
        <v>0</v>
      </c>
      <c r="AF57" s="654"/>
      <c r="AG57" s="655"/>
      <c r="AH57" s="658"/>
      <c r="AI57" s="658"/>
      <c r="AJ57" s="658">
        <f>24.16*X57/100</f>
        <v>0</v>
      </c>
      <c r="AK57" s="658"/>
      <c r="AL57" s="658"/>
      <c r="AM57" s="659">
        <f>41.52*X57/100</f>
        <v>0</v>
      </c>
      <c r="AN57" s="594"/>
      <c r="AO57" s="574"/>
      <c r="AP57" s="572"/>
      <c r="AQ57" s="575"/>
      <c r="AR57" s="576">
        <v>0.315</v>
      </c>
      <c r="AS57" s="577"/>
      <c r="AT57" s="2285"/>
      <c r="AU57" s="584"/>
      <c r="AV57" s="578"/>
      <c r="AW57" s="579"/>
      <c r="AX57" s="580"/>
      <c r="AY57" s="579"/>
      <c r="AZ57" s="579"/>
      <c r="BA57" s="579"/>
      <c r="BB57" s="579"/>
      <c r="BC57" s="580"/>
      <c r="BD57" s="579"/>
      <c r="BE57" s="585"/>
      <c r="BF57" s="585"/>
      <c r="BG57" s="579"/>
      <c r="BH57" s="581"/>
      <c r="BI57" s="1291"/>
      <c r="BJ57" s="566"/>
      <c r="BK57" s="566"/>
      <c r="BL57" s="583"/>
      <c r="BM57" s="582"/>
      <c r="BN57" s="566"/>
      <c r="BO57" s="566"/>
      <c r="BP57" s="583"/>
      <c r="BQ57" s="578"/>
      <c r="BR57" s="579"/>
      <c r="BS57" s="567"/>
      <c r="BT57" s="581"/>
      <c r="BU57" s="709"/>
      <c r="BV57" s="567"/>
      <c r="BW57" s="579"/>
      <c r="BX57" s="579"/>
      <c r="BY57" s="579"/>
      <c r="BZ57" s="581"/>
      <c r="CA57" s="584"/>
      <c r="CB57" s="581"/>
      <c r="CC57" s="2267"/>
      <c r="CD57" s="578"/>
      <c r="CE57" s="579"/>
      <c r="CF57" s="579"/>
      <c r="CG57" s="585"/>
      <c r="CH57" s="579"/>
      <c r="CI57" s="579"/>
      <c r="CJ57" s="579"/>
      <c r="CK57" s="579"/>
      <c r="CL57" s="579"/>
      <c r="CM57" s="579"/>
      <c r="CN57" s="579"/>
      <c r="CO57" s="579"/>
      <c r="CP57" s="579"/>
      <c r="CQ57" s="579"/>
      <c r="CR57" s="579"/>
      <c r="CS57" s="579"/>
      <c r="CT57" s="579"/>
      <c r="CU57" s="579"/>
      <c r="CV57" s="579"/>
      <c r="CW57" s="579"/>
      <c r="CX57" s="579"/>
      <c r="CY57" s="579"/>
      <c r="CZ57" s="579"/>
      <c r="DA57" s="579"/>
      <c r="DB57" s="579"/>
      <c r="DC57" s="579"/>
      <c r="DD57" s="579"/>
      <c r="DE57" s="579"/>
      <c r="DF57" s="579"/>
      <c r="DG57" s="586"/>
      <c r="DH57" s="586"/>
      <c r="DI57" s="579"/>
      <c r="DJ57" s="586"/>
      <c r="DK57" s="596"/>
      <c r="DL57" s="586"/>
      <c r="DM57" s="586"/>
      <c r="DN57" s="586"/>
      <c r="DO57" s="586"/>
      <c r="DP57" s="586"/>
      <c r="DQ57" s="768"/>
      <c r="DR57" s="926"/>
      <c r="DS57" s="586"/>
      <c r="DT57" s="580"/>
      <c r="DU57" s="578"/>
      <c r="DV57" s="581"/>
      <c r="DW57" s="933"/>
      <c r="DX57" s="925"/>
      <c r="DY57" s="925"/>
      <c r="DZ57" s="925"/>
      <c r="EA57" s="925"/>
      <c r="EB57" s="925"/>
      <c r="EC57" s="925"/>
      <c r="ED57" s="586"/>
      <c r="EE57" s="768"/>
      <c r="EF57" s="584"/>
      <c r="EG57" s="581"/>
      <c r="EH57" s="919"/>
      <c r="EI57" s="925"/>
      <c r="EJ57" s="925"/>
      <c r="EK57" s="925"/>
      <c r="EL57" s="925"/>
      <c r="EM57" s="925"/>
      <c r="EN57" s="925"/>
      <c r="EO57" s="925"/>
      <c r="EP57" s="925"/>
      <c r="EQ57" s="925"/>
      <c r="ER57" s="925"/>
      <c r="ES57" s="925"/>
      <c r="ET57" s="925"/>
      <c r="EU57" s="925"/>
      <c r="EV57" s="925"/>
      <c r="EW57" s="925"/>
      <c r="EX57" s="586"/>
      <c r="EY57" s="925"/>
      <c r="EZ57" s="925"/>
      <c r="FA57" s="596"/>
      <c r="FB57" s="925"/>
      <c r="FC57" s="579"/>
      <c r="FD57" s="579"/>
      <c r="FE57" s="586"/>
      <c r="FF57" s="586"/>
      <c r="FG57" s="586"/>
      <c r="FH57" s="586"/>
      <c r="FI57" s="586"/>
      <c r="FJ57" s="586"/>
      <c r="FK57" s="586"/>
      <c r="FL57" s="586"/>
      <c r="FM57" s="586"/>
      <c r="FN57" s="586"/>
      <c r="FO57" s="586"/>
      <c r="FP57" s="586"/>
      <c r="FQ57" s="586"/>
      <c r="FR57" s="586"/>
      <c r="FS57" s="586"/>
      <c r="FT57" s="586"/>
      <c r="FU57" s="586"/>
      <c r="FV57" s="586"/>
      <c r="FW57" s="586"/>
      <c r="FX57" s="586"/>
      <c r="FY57" s="586"/>
      <c r="FZ57" s="586"/>
      <c r="GA57" s="586"/>
      <c r="GB57" s="586"/>
      <c r="GC57" s="586"/>
      <c r="GD57" s="586"/>
      <c r="GE57" s="586"/>
      <c r="GF57" s="586"/>
      <c r="GG57" s="586"/>
      <c r="GH57" s="937"/>
      <c r="GI57" s="937"/>
      <c r="GJ57" s="807"/>
      <c r="GK57" s="937"/>
      <c r="GL57" s="937"/>
      <c r="GM57" s="590"/>
      <c r="GN57" s="586"/>
      <c r="GO57" s="586"/>
      <c r="GP57" s="586"/>
      <c r="GQ57" s="586"/>
      <c r="GR57" s="586"/>
      <c r="GS57" s="586"/>
      <c r="GT57" s="586"/>
      <c r="GU57" s="586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586"/>
      <c r="HG57" s="586"/>
      <c r="HH57" s="586"/>
      <c r="HI57" s="586"/>
      <c r="HJ57" s="586"/>
      <c r="HK57" s="586"/>
      <c r="HL57" s="586"/>
      <c r="HM57" s="586"/>
      <c r="HN57" s="586"/>
      <c r="HO57" s="586"/>
      <c r="HP57" s="586"/>
      <c r="HQ57" s="586"/>
      <c r="HR57" s="586"/>
      <c r="HS57" s="586"/>
      <c r="HT57" s="586"/>
      <c r="HU57" s="586"/>
      <c r="HV57" s="586"/>
      <c r="HW57" s="586"/>
      <c r="HX57" s="586"/>
      <c r="HY57" s="586"/>
      <c r="HZ57" s="586"/>
      <c r="IA57" s="586"/>
      <c r="IB57" s="586"/>
      <c r="IC57" s="586"/>
      <c r="ID57" s="586"/>
      <c r="IE57" s="586"/>
      <c r="IF57" s="586"/>
      <c r="IG57" s="586"/>
      <c r="IH57" s="586"/>
      <c r="II57" s="586"/>
      <c r="IJ57" s="586"/>
      <c r="IK57" s="586"/>
      <c r="IL57" s="937"/>
      <c r="IM57" s="919"/>
      <c r="IN57" s="586"/>
      <c r="IO57" s="586"/>
      <c r="IP57" s="586"/>
      <c r="IQ57" s="587"/>
      <c r="IR57" s="587"/>
      <c r="IS57" s="587"/>
      <c r="IT57" s="587"/>
      <c r="IU57" s="587"/>
      <c r="IV57" s="587"/>
      <c r="IW57" s="587"/>
      <c r="IX57" s="587"/>
      <c r="IY57" s="587"/>
      <c r="IZ57" s="587"/>
      <c r="JA57" s="587"/>
      <c r="JB57" s="587"/>
      <c r="JC57" s="587"/>
      <c r="JD57" s="587"/>
      <c r="JE57" s="587"/>
      <c r="JF57" s="587"/>
      <c r="JG57" s="587"/>
      <c r="JH57" s="588"/>
      <c r="JI57" s="589"/>
      <c r="JJ57" s="587"/>
      <c r="JK57" s="587"/>
      <c r="JL57" s="587"/>
      <c r="JM57" s="589"/>
      <c r="JN57" s="590"/>
      <c r="JO57" s="589"/>
      <c r="JP57" s="591"/>
      <c r="JQ57" s="591"/>
      <c r="JR57" s="591"/>
      <c r="JS57" s="591"/>
      <c r="JT57" s="591"/>
      <c r="JU57" s="591"/>
      <c r="JV57" s="591"/>
      <c r="JW57" s="591"/>
      <c r="JX57" s="591"/>
      <c r="JY57" s="591"/>
      <c r="JZ57" s="591"/>
      <c r="KA57" s="591"/>
      <c r="KB57" s="591"/>
      <c r="KC57" s="591"/>
      <c r="KD57" s="592"/>
      <c r="KE57" s="592"/>
      <c r="KF57" s="1071"/>
      <c r="KI57" s="593"/>
    </row>
    <row r="58" spans="1:295" s="49" customFormat="1" ht="15.75" hidden="1" customHeight="1" x14ac:dyDescent="0.25">
      <c r="A58" s="560"/>
      <c r="B58" s="611"/>
      <c r="C58" s="804"/>
      <c r="D58" s="802">
        <f>C58</f>
        <v>0</v>
      </c>
      <c r="E58" s="2267"/>
      <c r="F58" s="561"/>
      <c r="G58" s="562"/>
      <c r="H58" s="563"/>
      <c r="I58" s="562"/>
      <c r="J58" s="562"/>
      <c r="K58" s="562"/>
      <c r="L58" s="564"/>
      <c r="M58" s="564"/>
      <c r="N58" s="565"/>
      <c r="O58" s="564"/>
      <c r="P58" s="564"/>
      <c r="Q58" s="566"/>
      <c r="R58" s="566"/>
      <c r="S58" s="564"/>
      <c r="T58" s="564"/>
      <c r="U58" s="564"/>
      <c r="V58" s="567"/>
      <c r="W58" s="2267"/>
      <c r="X58" s="568"/>
      <c r="Y58" s="568"/>
      <c r="Z58" s="568"/>
      <c r="AA58" s="568"/>
      <c r="AB58" s="568"/>
      <c r="AC58" s="569"/>
      <c r="AD58" s="570"/>
      <c r="AE58" s="598"/>
      <c r="AF58" s="660"/>
      <c r="AG58" s="655"/>
      <c r="AH58" s="658"/>
      <c r="AI58" s="658"/>
      <c r="AJ58" s="658"/>
      <c r="AK58" s="658"/>
      <c r="AL58" s="658"/>
      <c r="AM58" s="659"/>
      <c r="AN58" s="594"/>
      <c r="AO58" s="574"/>
      <c r="AP58" s="572"/>
      <c r="AQ58" s="575"/>
      <c r="AR58" s="576"/>
      <c r="AS58" s="577"/>
      <c r="AT58" s="2285"/>
      <c r="AU58" s="584"/>
      <c r="AV58" s="578"/>
      <c r="AW58" s="579"/>
      <c r="AX58" s="580"/>
      <c r="AY58" s="579"/>
      <c r="AZ58" s="579"/>
      <c r="BA58" s="579"/>
      <c r="BB58" s="579"/>
      <c r="BC58" s="580"/>
      <c r="BD58" s="579"/>
      <c r="BE58" s="585"/>
      <c r="BF58" s="585"/>
      <c r="BG58" s="579"/>
      <c r="BH58" s="581"/>
      <c r="BI58" s="1291"/>
      <c r="BJ58" s="566"/>
      <c r="BK58" s="566"/>
      <c r="BL58" s="583"/>
      <c r="BM58" s="582"/>
      <c r="BN58" s="566"/>
      <c r="BO58" s="566"/>
      <c r="BP58" s="583"/>
      <c r="BQ58" s="578"/>
      <c r="BR58" s="579"/>
      <c r="BS58" s="567"/>
      <c r="BT58" s="581"/>
      <c r="BU58" s="709"/>
      <c r="BV58" s="567"/>
      <c r="BW58" s="579"/>
      <c r="BX58" s="579"/>
      <c r="BY58" s="579"/>
      <c r="BZ58" s="581"/>
      <c r="CA58" s="584"/>
      <c r="CB58" s="581"/>
      <c r="CC58" s="2267"/>
      <c r="CD58" s="578"/>
      <c r="CE58" s="579"/>
      <c r="CF58" s="579"/>
      <c r="CG58" s="585"/>
      <c r="CH58" s="579"/>
      <c r="CI58" s="579"/>
      <c r="CJ58" s="579"/>
      <c r="CK58" s="579"/>
      <c r="CL58" s="579"/>
      <c r="CM58" s="579"/>
      <c r="CN58" s="579"/>
      <c r="CO58" s="579"/>
      <c r="CP58" s="579"/>
      <c r="CQ58" s="579"/>
      <c r="CR58" s="579"/>
      <c r="CS58" s="579"/>
      <c r="CT58" s="579"/>
      <c r="CU58" s="579"/>
      <c r="CV58" s="579"/>
      <c r="CW58" s="579"/>
      <c r="CX58" s="579"/>
      <c r="CY58" s="579"/>
      <c r="CZ58" s="579"/>
      <c r="DA58" s="579"/>
      <c r="DB58" s="579"/>
      <c r="DC58" s="579"/>
      <c r="DD58" s="579"/>
      <c r="DE58" s="579"/>
      <c r="DF58" s="579"/>
      <c r="DG58" s="586"/>
      <c r="DH58" s="586"/>
      <c r="DI58" s="579"/>
      <c r="DJ58" s="586"/>
      <c r="DK58" s="596"/>
      <c r="DL58" s="586"/>
      <c r="DM58" s="586"/>
      <c r="DN58" s="586"/>
      <c r="DO58" s="586"/>
      <c r="DP58" s="586"/>
      <c r="DQ58" s="768"/>
      <c r="DR58" s="926"/>
      <c r="DS58" s="586"/>
      <c r="DT58" s="580"/>
      <c r="DU58" s="578"/>
      <c r="DV58" s="581"/>
      <c r="DW58" s="933"/>
      <c r="DX58" s="925"/>
      <c r="DY58" s="925"/>
      <c r="DZ58" s="925"/>
      <c r="EA58" s="925"/>
      <c r="EB58" s="925"/>
      <c r="EC58" s="925"/>
      <c r="ED58" s="586"/>
      <c r="EE58" s="768"/>
      <c r="EF58" s="584"/>
      <c r="EG58" s="581"/>
      <c r="EH58" s="919"/>
      <c r="EI58" s="925"/>
      <c r="EJ58" s="925"/>
      <c r="EK58" s="925"/>
      <c r="EL58" s="925"/>
      <c r="EM58" s="925"/>
      <c r="EN58" s="925"/>
      <c r="EO58" s="925"/>
      <c r="EP58" s="925"/>
      <c r="EQ58" s="925"/>
      <c r="ER58" s="925"/>
      <c r="ES58" s="925"/>
      <c r="ET58" s="925"/>
      <c r="EU58" s="925"/>
      <c r="EV58" s="925"/>
      <c r="EW58" s="925"/>
      <c r="EX58" s="586"/>
      <c r="EY58" s="925"/>
      <c r="EZ58" s="925"/>
      <c r="FA58" s="596"/>
      <c r="FB58" s="925"/>
      <c r="FC58" s="579"/>
      <c r="FD58" s="579"/>
      <c r="FE58" s="586"/>
      <c r="FF58" s="586"/>
      <c r="FG58" s="586"/>
      <c r="FH58" s="586"/>
      <c r="FI58" s="586"/>
      <c r="FJ58" s="586"/>
      <c r="FK58" s="586"/>
      <c r="FL58" s="586"/>
      <c r="FM58" s="586"/>
      <c r="FN58" s="586"/>
      <c r="FO58" s="586"/>
      <c r="FP58" s="586"/>
      <c r="FQ58" s="586"/>
      <c r="FR58" s="586"/>
      <c r="FS58" s="586"/>
      <c r="FT58" s="586"/>
      <c r="FU58" s="586"/>
      <c r="FV58" s="586"/>
      <c r="FW58" s="586"/>
      <c r="FX58" s="586"/>
      <c r="FY58" s="586"/>
      <c r="FZ58" s="586"/>
      <c r="GA58" s="586"/>
      <c r="GB58" s="586"/>
      <c r="GC58" s="586"/>
      <c r="GD58" s="586"/>
      <c r="GE58" s="586"/>
      <c r="GF58" s="586"/>
      <c r="GG58" s="586"/>
      <c r="GH58" s="937"/>
      <c r="GI58" s="937"/>
      <c r="GJ58" s="807"/>
      <c r="GK58" s="937"/>
      <c r="GL58" s="937"/>
      <c r="GM58" s="590"/>
      <c r="GN58" s="586"/>
      <c r="GO58" s="586"/>
      <c r="GP58" s="586"/>
      <c r="GQ58" s="586"/>
      <c r="GR58" s="586"/>
      <c r="GS58" s="586"/>
      <c r="GT58" s="586"/>
      <c r="GU58" s="586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586"/>
      <c r="HG58" s="586"/>
      <c r="HH58" s="586"/>
      <c r="HI58" s="586"/>
      <c r="HJ58" s="586"/>
      <c r="HK58" s="586"/>
      <c r="HL58" s="586"/>
      <c r="HM58" s="586"/>
      <c r="HN58" s="586"/>
      <c r="HO58" s="586"/>
      <c r="HP58" s="586"/>
      <c r="HQ58" s="586"/>
      <c r="HR58" s="586"/>
      <c r="HS58" s="586"/>
      <c r="HT58" s="586"/>
      <c r="HU58" s="586"/>
      <c r="HV58" s="586"/>
      <c r="HW58" s="586"/>
      <c r="HX58" s="586"/>
      <c r="HY58" s="586"/>
      <c r="HZ58" s="586"/>
      <c r="IA58" s="586"/>
      <c r="IB58" s="586"/>
      <c r="IC58" s="586"/>
      <c r="ID58" s="586"/>
      <c r="IE58" s="586"/>
      <c r="IF58" s="586"/>
      <c r="IG58" s="586"/>
      <c r="IH58" s="586"/>
      <c r="II58" s="586"/>
      <c r="IJ58" s="586"/>
      <c r="IK58" s="586"/>
      <c r="IL58" s="937"/>
      <c r="IM58" s="919"/>
      <c r="IN58" s="586"/>
      <c r="IO58" s="586"/>
      <c r="IP58" s="586"/>
      <c r="IQ58" s="587"/>
      <c r="IR58" s="587"/>
      <c r="IS58" s="587"/>
      <c r="IT58" s="587"/>
      <c r="IU58" s="587"/>
      <c r="IV58" s="587"/>
      <c r="IW58" s="587"/>
      <c r="IX58" s="587"/>
      <c r="IY58" s="587"/>
      <c r="IZ58" s="587"/>
      <c r="JA58" s="587"/>
      <c r="JB58" s="587"/>
      <c r="JC58" s="587"/>
      <c r="JD58" s="587"/>
      <c r="JE58" s="587"/>
      <c r="JF58" s="587"/>
      <c r="JG58" s="587"/>
      <c r="JH58" s="588"/>
      <c r="JI58" s="589"/>
      <c r="JJ58" s="587"/>
      <c r="JK58" s="587"/>
      <c r="JL58" s="587"/>
      <c r="JM58" s="589"/>
      <c r="JN58" s="590"/>
      <c r="JO58" s="589"/>
      <c r="JP58" s="591"/>
      <c r="JQ58" s="591"/>
      <c r="JR58" s="591"/>
      <c r="JS58" s="591"/>
      <c r="JT58" s="591"/>
      <c r="JU58" s="591"/>
      <c r="JV58" s="591"/>
      <c r="JW58" s="591"/>
      <c r="JX58" s="591"/>
      <c r="JY58" s="591"/>
      <c r="JZ58" s="591"/>
      <c r="KA58" s="591"/>
      <c r="KB58" s="591"/>
      <c r="KC58" s="591"/>
      <c r="KD58" s="592"/>
      <c r="KE58" s="592"/>
      <c r="KF58" s="1071"/>
      <c r="KI58" s="593"/>
    </row>
    <row r="59" spans="1:295" s="49" customFormat="1" ht="15.75" hidden="1" customHeight="1" x14ac:dyDescent="0.25">
      <c r="A59" s="560"/>
      <c r="B59" s="605"/>
      <c r="C59" s="804"/>
      <c r="D59" s="802"/>
      <c r="E59" s="2267"/>
      <c r="F59" s="561"/>
      <c r="G59" s="562"/>
      <c r="H59" s="563"/>
      <c r="I59" s="562"/>
      <c r="J59" s="562"/>
      <c r="K59" s="562"/>
      <c r="L59" s="564"/>
      <c r="M59" s="564"/>
      <c r="N59" s="565"/>
      <c r="O59" s="564"/>
      <c r="P59" s="564"/>
      <c r="Q59" s="566"/>
      <c r="R59" s="566"/>
      <c r="S59" s="564"/>
      <c r="T59" s="564"/>
      <c r="U59" s="564"/>
      <c r="V59" s="567"/>
      <c r="W59" s="2267"/>
      <c r="X59" s="568"/>
      <c r="Y59" s="568"/>
      <c r="Z59" s="568"/>
      <c r="AA59" s="568"/>
      <c r="AB59" s="568"/>
      <c r="AC59" s="569"/>
      <c r="AD59" s="570"/>
      <c r="AE59" s="598">
        <f>6.1*X59/100</f>
        <v>0</v>
      </c>
      <c r="AF59" s="654"/>
      <c r="AG59" s="655"/>
      <c r="AH59" s="658"/>
      <c r="AI59" s="658"/>
      <c r="AJ59" s="658">
        <f>24.16*X59/100</f>
        <v>0</v>
      </c>
      <c r="AK59" s="658"/>
      <c r="AL59" s="658"/>
      <c r="AM59" s="659">
        <f>41.52*X59/100</f>
        <v>0</v>
      </c>
      <c r="AN59" s="594"/>
      <c r="AO59" s="574"/>
      <c r="AP59" s="572"/>
      <c r="AQ59" s="575"/>
      <c r="AR59" s="576"/>
      <c r="AS59" s="577"/>
      <c r="AT59" s="2285"/>
      <c r="AU59" s="584"/>
      <c r="AV59" s="578"/>
      <c r="AW59" s="579"/>
      <c r="AX59" s="580"/>
      <c r="AY59" s="579"/>
      <c r="AZ59" s="579"/>
      <c r="BA59" s="579"/>
      <c r="BB59" s="579"/>
      <c r="BC59" s="580"/>
      <c r="BD59" s="579"/>
      <c r="BE59" s="585"/>
      <c r="BF59" s="585"/>
      <c r="BG59" s="579"/>
      <c r="BH59" s="581"/>
      <c r="BI59" s="1291"/>
      <c r="BJ59" s="566"/>
      <c r="BK59" s="566"/>
      <c r="BL59" s="583"/>
      <c r="BM59" s="582"/>
      <c r="BN59" s="566"/>
      <c r="BO59" s="566"/>
      <c r="BP59" s="583"/>
      <c r="BQ59" s="578"/>
      <c r="BR59" s="579"/>
      <c r="BS59" s="567"/>
      <c r="BT59" s="581"/>
      <c r="BU59" s="709"/>
      <c r="BV59" s="567"/>
      <c r="BW59" s="579"/>
      <c r="BX59" s="579"/>
      <c r="BY59" s="579"/>
      <c r="BZ59" s="581"/>
      <c r="CA59" s="584"/>
      <c r="CB59" s="581"/>
      <c r="CC59" s="2267"/>
      <c r="CD59" s="578"/>
      <c r="CE59" s="579"/>
      <c r="CF59" s="579"/>
      <c r="CG59" s="585"/>
      <c r="CH59" s="579"/>
      <c r="CI59" s="579"/>
      <c r="CJ59" s="579"/>
      <c r="CK59" s="579"/>
      <c r="CL59" s="579"/>
      <c r="CM59" s="579"/>
      <c r="CN59" s="579"/>
      <c r="CO59" s="579"/>
      <c r="CP59" s="579"/>
      <c r="CQ59" s="579"/>
      <c r="CR59" s="579"/>
      <c r="CS59" s="579"/>
      <c r="CT59" s="579"/>
      <c r="CU59" s="579"/>
      <c r="CV59" s="579"/>
      <c r="CW59" s="579"/>
      <c r="CX59" s="579"/>
      <c r="CY59" s="579"/>
      <c r="CZ59" s="579"/>
      <c r="DA59" s="579"/>
      <c r="DB59" s="579"/>
      <c r="DC59" s="579"/>
      <c r="DD59" s="579"/>
      <c r="DE59" s="579"/>
      <c r="DF59" s="579"/>
      <c r="DG59" s="586"/>
      <c r="DH59" s="586"/>
      <c r="DI59" s="579"/>
      <c r="DJ59" s="586"/>
      <c r="DK59" s="596"/>
      <c r="DL59" s="586"/>
      <c r="DM59" s="586"/>
      <c r="DN59" s="586"/>
      <c r="DO59" s="586"/>
      <c r="DP59" s="586"/>
      <c r="DQ59" s="768"/>
      <c r="DR59" s="926"/>
      <c r="DS59" s="586"/>
      <c r="DT59" s="580"/>
      <c r="DU59" s="578"/>
      <c r="DV59" s="581"/>
      <c r="DW59" s="933"/>
      <c r="DX59" s="925"/>
      <c r="DY59" s="925"/>
      <c r="DZ59" s="925"/>
      <c r="EA59" s="925"/>
      <c r="EB59" s="925"/>
      <c r="EC59" s="925"/>
      <c r="ED59" s="586"/>
      <c r="EE59" s="768"/>
      <c r="EF59" s="584"/>
      <c r="EG59" s="581"/>
      <c r="EH59" s="919"/>
      <c r="EI59" s="925"/>
      <c r="EJ59" s="925"/>
      <c r="EK59" s="925"/>
      <c r="EL59" s="925"/>
      <c r="EM59" s="925"/>
      <c r="EN59" s="925"/>
      <c r="EO59" s="925"/>
      <c r="EP59" s="925"/>
      <c r="EQ59" s="925"/>
      <c r="ER59" s="925"/>
      <c r="ES59" s="925"/>
      <c r="ET59" s="925"/>
      <c r="EU59" s="925"/>
      <c r="EV59" s="925"/>
      <c r="EW59" s="925"/>
      <c r="EX59" s="586"/>
      <c r="EY59" s="925"/>
      <c r="EZ59" s="925"/>
      <c r="FA59" s="596"/>
      <c r="FB59" s="925"/>
      <c r="FC59" s="579"/>
      <c r="FD59" s="579"/>
      <c r="FE59" s="586"/>
      <c r="FF59" s="586"/>
      <c r="FG59" s="586"/>
      <c r="FH59" s="586"/>
      <c r="FI59" s="586"/>
      <c r="FJ59" s="586"/>
      <c r="FK59" s="586"/>
      <c r="FL59" s="586"/>
      <c r="FM59" s="586"/>
      <c r="FN59" s="586"/>
      <c r="FO59" s="586"/>
      <c r="FP59" s="586"/>
      <c r="FQ59" s="586"/>
      <c r="FR59" s="586"/>
      <c r="FS59" s="586"/>
      <c r="FT59" s="586"/>
      <c r="FU59" s="586"/>
      <c r="FV59" s="586"/>
      <c r="FW59" s="586"/>
      <c r="FX59" s="586"/>
      <c r="FY59" s="586"/>
      <c r="FZ59" s="586"/>
      <c r="GA59" s="586"/>
      <c r="GB59" s="586"/>
      <c r="GC59" s="586"/>
      <c r="GD59" s="586"/>
      <c r="GE59" s="586"/>
      <c r="GF59" s="586"/>
      <c r="GG59" s="586"/>
      <c r="GH59" s="937"/>
      <c r="GI59" s="937"/>
      <c r="GJ59" s="807"/>
      <c r="GK59" s="937"/>
      <c r="GL59" s="937"/>
      <c r="GM59" s="590"/>
      <c r="GN59" s="586"/>
      <c r="GO59" s="586"/>
      <c r="GP59" s="586"/>
      <c r="GQ59" s="586"/>
      <c r="GR59" s="586"/>
      <c r="GS59" s="586"/>
      <c r="GT59" s="586"/>
      <c r="GU59" s="586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586"/>
      <c r="HG59" s="586"/>
      <c r="HH59" s="586"/>
      <c r="HI59" s="586"/>
      <c r="HJ59" s="586"/>
      <c r="HK59" s="586"/>
      <c r="HL59" s="586"/>
      <c r="HM59" s="586"/>
      <c r="HN59" s="586"/>
      <c r="HO59" s="586"/>
      <c r="HP59" s="586"/>
      <c r="HQ59" s="586"/>
      <c r="HR59" s="586"/>
      <c r="HS59" s="586"/>
      <c r="HT59" s="586"/>
      <c r="HU59" s="586"/>
      <c r="HV59" s="586"/>
      <c r="HW59" s="586"/>
      <c r="HX59" s="586"/>
      <c r="HY59" s="586"/>
      <c r="HZ59" s="586"/>
      <c r="IA59" s="586"/>
      <c r="IB59" s="586"/>
      <c r="IC59" s="586"/>
      <c r="ID59" s="586"/>
      <c r="IE59" s="586"/>
      <c r="IF59" s="586"/>
      <c r="IG59" s="586"/>
      <c r="IH59" s="586"/>
      <c r="II59" s="586"/>
      <c r="IJ59" s="586"/>
      <c r="IK59" s="586"/>
      <c r="IL59" s="937"/>
      <c r="IM59" s="919"/>
      <c r="IN59" s="586"/>
      <c r="IO59" s="586"/>
      <c r="IP59" s="586"/>
      <c r="IQ59" s="587"/>
      <c r="IR59" s="587"/>
      <c r="IS59" s="587"/>
      <c r="IT59" s="587"/>
      <c r="IU59" s="587"/>
      <c r="IV59" s="587"/>
      <c r="IW59" s="587"/>
      <c r="IX59" s="587"/>
      <c r="IY59" s="587"/>
      <c r="IZ59" s="587"/>
      <c r="JA59" s="587"/>
      <c r="JB59" s="587"/>
      <c r="JC59" s="587"/>
      <c r="JD59" s="587"/>
      <c r="JE59" s="587"/>
      <c r="JF59" s="587"/>
      <c r="JG59" s="587"/>
      <c r="JH59" s="588"/>
      <c r="JI59" s="589"/>
      <c r="JJ59" s="587"/>
      <c r="JK59" s="587"/>
      <c r="JL59" s="587"/>
      <c r="JM59" s="589"/>
      <c r="JN59" s="590"/>
      <c r="JO59" s="589"/>
      <c r="JP59" s="591"/>
      <c r="JQ59" s="591"/>
      <c r="JR59" s="591"/>
      <c r="JS59" s="591"/>
      <c r="JT59" s="591"/>
      <c r="JU59" s="591"/>
      <c r="JV59" s="591"/>
      <c r="JW59" s="591"/>
      <c r="JX59" s="591"/>
      <c r="JY59" s="591"/>
      <c r="JZ59" s="591"/>
      <c r="KA59" s="591"/>
      <c r="KB59" s="591"/>
      <c r="KC59" s="591"/>
      <c r="KD59" s="592"/>
      <c r="KE59" s="592"/>
      <c r="KF59" s="1071"/>
      <c r="KI59" s="593"/>
    </row>
    <row r="60" spans="1:295" s="49" customFormat="1" ht="15.75" hidden="1" customHeight="1" x14ac:dyDescent="0.25">
      <c r="A60" s="560"/>
      <c r="B60" s="609"/>
      <c r="C60" s="804"/>
      <c r="D60" s="802"/>
      <c r="E60" s="2267"/>
      <c r="F60" s="561"/>
      <c r="G60" s="562"/>
      <c r="H60" s="563"/>
      <c r="I60" s="562"/>
      <c r="J60" s="562"/>
      <c r="K60" s="562"/>
      <c r="L60" s="564"/>
      <c r="M60" s="564"/>
      <c r="N60" s="565"/>
      <c r="O60" s="564"/>
      <c r="P60" s="564"/>
      <c r="Q60" s="566"/>
      <c r="R60" s="566"/>
      <c r="S60" s="564"/>
      <c r="T60" s="564"/>
      <c r="U60" s="564"/>
      <c r="V60" s="567"/>
      <c r="W60" s="2267"/>
      <c r="X60" s="568"/>
      <c r="Y60" s="568"/>
      <c r="Z60" s="568"/>
      <c r="AA60" s="568"/>
      <c r="AB60" s="568"/>
      <c r="AC60" s="569"/>
      <c r="AD60" s="570"/>
      <c r="AE60" s="599">
        <f>X60*6.8/100</f>
        <v>0</v>
      </c>
      <c r="AF60" s="568"/>
      <c r="AG60" s="652"/>
      <c r="AH60" s="569"/>
      <c r="AI60" s="569"/>
      <c r="AJ60" s="569"/>
      <c r="AK60" s="569"/>
      <c r="AL60" s="569"/>
      <c r="AM60" s="653">
        <f>X60*63.4/100</f>
        <v>0</v>
      </c>
      <c r="AN60" s="594"/>
      <c r="AO60" s="574"/>
      <c r="AP60" s="572"/>
      <c r="AQ60" s="575"/>
      <c r="AR60" s="576"/>
      <c r="AS60" s="577"/>
      <c r="AT60" s="2285"/>
      <c r="AU60" s="584"/>
      <c r="AV60" s="578"/>
      <c r="AW60" s="579"/>
      <c r="AX60" s="580"/>
      <c r="AY60" s="579"/>
      <c r="AZ60" s="579"/>
      <c r="BA60" s="579"/>
      <c r="BB60" s="579"/>
      <c r="BC60" s="580"/>
      <c r="BD60" s="579"/>
      <c r="BE60" s="585"/>
      <c r="BF60" s="585"/>
      <c r="BG60" s="579"/>
      <c r="BH60" s="581"/>
      <c r="BI60" s="1291"/>
      <c r="BJ60" s="566"/>
      <c r="BK60" s="566"/>
      <c r="BL60" s="583"/>
      <c r="BM60" s="582"/>
      <c r="BN60" s="566"/>
      <c r="BO60" s="566"/>
      <c r="BP60" s="583"/>
      <c r="BQ60" s="578"/>
      <c r="BR60" s="579"/>
      <c r="BS60" s="567"/>
      <c r="BT60" s="581"/>
      <c r="BU60" s="709"/>
      <c r="BV60" s="567"/>
      <c r="BW60" s="579"/>
      <c r="BX60" s="579"/>
      <c r="BY60" s="579"/>
      <c r="BZ60" s="581"/>
      <c r="CA60" s="584"/>
      <c r="CB60" s="581"/>
      <c r="CC60" s="2267"/>
      <c r="CD60" s="578"/>
      <c r="CE60" s="579"/>
      <c r="CF60" s="579"/>
      <c r="CG60" s="585"/>
      <c r="CH60" s="579"/>
      <c r="CI60" s="579"/>
      <c r="CJ60" s="579"/>
      <c r="CK60" s="579"/>
      <c r="CL60" s="579"/>
      <c r="CM60" s="579"/>
      <c r="CN60" s="579"/>
      <c r="CO60" s="579"/>
      <c r="CP60" s="579"/>
      <c r="CQ60" s="579"/>
      <c r="CR60" s="579"/>
      <c r="CS60" s="579"/>
      <c r="CT60" s="579"/>
      <c r="CU60" s="579"/>
      <c r="CV60" s="579"/>
      <c r="CW60" s="579"/>
      <c r="CX60" s="579"/>
      <c r="CY60" s="579"/>
      <c r="CZ60" s="579"/>
      <c r="DA60" s="579"/>
      <c r="DB60" s="579"/>
      <c r="DC60" s="579"/>
      <c r="DD60" s="579"/>
      <c r="DE60" s="579"/>
      <c r="DF60" s="579"/>
      <c r="DG60" s="586"/>
      <c r="DH60" s="586"/>
      <c r="DI60" s="579"/>
      <c r="DJ60" s="586"/>
      <c r="DK60" s="596"/>
      <c r="DL60" s="586"/>
      <c r="DM60" s="586"/>
      <c r="DN60" s="586"/>
      <c r="DO60" s="586"/>
      <c r="DP60" s="586"/>
      <c r="DQ60" s="768"/>
      <c r="DR60" s="926"/>
      <c r="DS60" s="586"/>
      <c r="DT60" s="580"/>
      <c r="DU60" s="578"/>
      <c r="DV60" s="581"/>
      <c r="DW60" s="933"/>
      <c r="DX60" s="925"/>
      <c r="DY60" s="925"/>
      <c r="DZ60" s="925"/>
      <c r="EA60" s="925"/>
      <c r="EB60" s="925"/>
      <c r="EC60" s="925"/>
      <c r="ED60" s="586"/>
      <c r="EE60" s="768"/>
      <c r="EF60" s="584"/>
      <c r="EG60" s="581"/>
      <c r="EH60" s="919"/>
      <c r="EI60" s="925"/>
      <c r="EJ60" s="925"/>
      <c r="EK60" s="925"/>
      <c r="EL60" s="925"/>
      <c r="EM60" s="925"/>
      <c r="EN60" s="925"/>
      <c r="EO60" s="925"/>
      <c r="EP60" s="925"/>
      <c r="EQ60" s="925"/>
      <c r="ER60" s="925"/>
      <c r="ES60" s="925"/>
      <c r="ET60" s="925"/>
      <c r="EU60" s="925"/>
      <c r="EV60" s="925"/>
      <c r="EW60" s="925"/>
      <c r="EX60" s="586"/>
      <c r="EY60" s="925"/>
      <c r="EZ60" s="925"/>
      <c r="FA60" s="596"/>
      <c r="FB60" s="925"/>
      <c r="FC60" s="579"/>
      <c r="FD60" s="579"/>
      <c r="FE60" s="586"/>
      <c r="FF60" s="586"/>
      <c r="FG60" s="586"/>
      <c r="FH60" s="586"/>
      <c r="FI60" s="586"/>
      <c r="FJ60" s="586"/>
      <c r="FK60" s="586"/>
      <c r="FL60" s="586"/>
      <c r="FM60" s="586"/>
      <c r="FN60" s="586"/>
      <c r="FO60" s="586"/>
      <c r="FP60" s="586"/>
      <c r="FQ60" s="586"/>
      <c r="FR60" s="586"/>
      <c r="FS60" s="586"/>
      <c r="FT60" s="586"/>
      <c r="FU60" s="586"/>
      <c r="FV60" s="586"/>
      <c r="FW60" s="586"/>
      <c r="FX60" s="586"/>
      <c r="FY60" s="586"/>
      <c r="FZ60" s="586"/>
      <c r="GA60" s="586"/>
      <c r="GB60" s="586"/>
      <c r="GC60" s="586"/>
      <c r="GD60" s="586"/>
      <c r="GE60" s="586"/>
      <c r="GF60" s="586"/>
      <c r="GG60" s="586"/>
      <c r="GH60" s="937"/>
      <c r="GI60" s="937"/>
      <c r="GJ60" s="807"/>
      <c r="GK60" s="937"/>
      <c r="GL60" s="937"/>
      <c r="GM60" s="590"/>
      <c r="GN60" s="586"/>
      <c r="GO60" s="586"/>
      <c r="GP60" s="586"/>
      <c r="GQ60" s="586"/>
      <c r="GR60" s="586"/>
      <c r="GS60" s="586"/>
      <c r="GT60" s="586"/>
      <c r="GU60" s="586"/>
      <c r="GV60" s="60"/>
      <c r="GW60" s="60"/>
      <c r="GX60" s="60"/>
      <c r="GY60" s="60"/>
      <c r="GZ60" s="60"/>
      <c r="HA60" s="60"/>
      <c r="HB60" s="60"/>
      <c r="HC60" s="60"/>
      <c r="HD60" s="60"/>
      <c r="HE60" s="60"/>
      <c r="HF60" s="586"/>
      <c r="HG60" s="586"/>
      <c r="HH60" s="586"/>
      <c r="HI60" s="586"/>
      <c r="HJ60" s="586"/>
      <c r="HK60" s="586"/>
      <c r="HL60" s="586"/>
      <c r="HM60" s="586"/>
      <c r="HN60" s="586"/>
      <c r="HO60" s="586"/>
      <c r="HP60" s="586"/>
      <c r="HQ60" s="586"/>
      <c r="HR60" s="586"/>
      <c r="HS60" s="586"/>
      <c r="HT60" s="586"/>
      <c r="HU60" s="586"/>
      <c r="HV60" s="586"/>
      <c r="HW60" s="586"/>
      <c r="HX60" s="586"/>
      <c r="HY60" s="586"/>
      <c r="HZ60" s="586"/>
      <c r="IA60" s="586"/>
      <c r="IB60" s="586"/>
      <c r="IC60" s="586"/>
      <c r="ID60" s="586"/>
      <c r="IE60" s="586"/>
      <c r="IF60" s="586"/>
      <c r="IG60" s="586"/>
      <c r="IH60" s="586"/>
      <c r="II60" s="586"/>
      <c r="IJ60" s="586"/>
      <c r="IK60" s="586"/>
      <c r="IL60" s="937"/>
      <c r="IM60" s="919"/>
      <c r="IN60" s="586"/>
      <c r="IO60" s="586"/>
      <c r="IP60" s="586"/>
      <c r="IQ60" s="587"/>
      <c r="IR60" s="587"/>
      <c r="IS60" s="587"/>
      <c r="IT60" s="587"/>
      <c r="IU60" s="587"/>
      <c r="IV60" s="587"/>
      <c r="IW60" s="587"/>
      <c r="IX60" s="587"/>
      <c r="IY60" s="587"/>
      <c r="IZ60" s="587"/>
      <c r="JA60" s="587"/>
      <c r="JB60" s="587"/>
      <c r="JC60" s="587"/>
      <c r="JD60" s="587"/>
      <c r="JE60" s="587"/>
      <c r="JF60" s="587"/>
      <c r="JG60" s="587"/>
      <c r="JH60" s="588"/>
      <c r="JI60" s="589"/>
      <c r="JJ60" s="587"/>
      <c r="JK60" s="587"/>
      <c r="JL60" s="587"/>
      <c r="JM60" s="589"/>
      <c r="JN60" s="590"/>
      <c r="JO60" s="589"/>
      <c r="JP60" s="591"/>
      <c r="JQ60" s="591"/>
      <c r="JR60" s="591"/>
      <c r="JS60" s="591"/>
      <c r="JT60" s="591"/>
      <c r="JU60" s="591"/>
      <c r="JV60" s="591"/>
      <c r="JW60" s="591"/>
      <c r="JX60" s="591"/>
      <c r="JY60" s="591"/>
      <c r="JZ60" s="591"/>
      <c r="KA60" s="591"/>
      <c r="KB60" s="591"/>
      <c r="KC60" s="591"/>
      <c r="KD60" s="592"/>
      <c r="KE60" s="592"/>
      <c r="KF60" s="1071"/>
      <c r="KI60" s="593"/>
    </row>
    <row r="61" spans="1:295" s="49" customFormat="1" ht="15.75" hidden="1" customHeight="1" x14ac:dyDescent="0.25">
      <c r="A61" s="560"/>
      <c r="B61" s="609"/>
      <c r="C61" s="804"/>
      <c r="D61" s="802"/>
      <c r="E61" s="2267"/>
      <c r="F61" s="561"/>
      <c r="G61" s="562"/>
      <c r="H61" s="563"/>
      <c r="I61" s="562"/>
      <c r="J61" s="562"/>
      <c r="K61" s="562"/>
      <c r="L61" s="564"/>
      <c r="M61" s="564"/>
      <c r="N61" s="565"/>
      <c r="O61" s="564"/>
      <c r="P61" s="564"/>
      <c r="Q61" s="566"/>
      <c r="R61" s="566"/>
      <c r="S61" s="564"/>
      <c r="T61" s="564"/>
      <c r="U61" s="564"/>
      <c r="V61" s="567"/>
      <c r="W61" s="2267"/>
      <c r="X61" s="568"/>
      <c r="Y61" s="568"/>
      <c r="Z61" s="568"/>
      <c r="AA61" s="568"/>
      <c r="AB61" s="568"/>
      <c r="AC61" s="569"/>
      <c r="AD61" s="570"/>
      <c r="AE61" s="599">
        <f>X61*4.1/100</f>
        <v>0</v>
      </c>
      <c r="AF61" s="568"/>
      <c r="AG61" s="652"/>
      <c r="AH61" s="569"/>
      <c r="AI61" s="569"/>
      <c r="AJ61" s="569">
        <f>X61*24.67/100</f>
        <v>0</v>
      </c>
      <c r="AK61" s="569">
        <f>X61*17.37/100</f>
        <v>0</v>
      </c>
      <c r="AL61" s="569"/>
      <c r="AM61" s="653">
        <f>X61*24.78/100</f>
        <v>0</v>
      </c>
      <c r="AN61" s="601">
        <f>X61*1.92/100</f>
        <v>0</v>
      </c>
      <c r="AO61" s="574"/>
      <c r="AP61" s="572"/>
      <c r="AQ61" s="575"/>
      <c r="AR61" s="576"/>
      <c r="AS61" s="577"/>
      <c r="AT61" s="2285"/>
      <c r="AU61" s="584"/>
      <c r="AV61" s="578"/>
      <c r="AW61" s="579"/>
      <c r="AX61" s="580"/>
      <c r="AY61" s="579"/>
      <c r="AZ61" s="579"/>
      <c r="BA61" s="579"/>
      <c r="BB61" s="579"/>
      <c r="BC61" s="580"/>
      <c r="BD61" s="579"/>
      <c r="BE61" s="585"/>
      <c r="BF61" s="585"/>
      <c r="BG61" s="579"/>
      <c r="BH61" s="581"/>
      <c r="BI61" s="1291"/>
      <c r="BJ61" s="566"/>
      <c r="BK61" s="566"/>
      <c r="BL61" s="583"/>
      <c r="BM61" s="582"/>
      <c r="BN61" s="566"/>
      <c r="BO61" s="566"/>
      <c r="BP61" s="583"/>
      <c r="BQ61" s="578"/>
      <c r="BR61" s="579"/>
      <c r="BS61" s="567"/>
      <c r="BT61" s="581"/>
      <c r="BU61" s="709"/>
      <c r="BV61" s="567"/>
      <c r="BW61" s="579"/>
      <c r="BX61" s="579"/>
      <c r="BY61" s="579"/>
      <c r="BZ61" s="581"/>
      <c r="CA61" s="584"/>
      <c r="CB61" s="581"/>
      <c r="CC61" s="2267"/>
      <c r="CD61" s="578"/>
      <c r="CE61" s="579"/>
      <c r="CF61" s="579"/>
      <c r="CG61" s="585"/>
      <c r="CH61" s="579"/>
      <c r="CI61" s="579"/>
      <c r="CJ61" s="579"/>
      <c r="CK61" s="579"/>
      <c r="CL61" s="579"/>
      <c r="CM61" s="579"/>
      <c r="CN61" s="579"/>
      <c r="CO61" s="579"/>
      <c r="CP61" s="579"/>
      <c r="CQ61" s="579"/>
      <c r="CR61" s="579"/>
      <c r="CS61" s="579"/>
      <c r="CT61" s="579"/>
      <c r="CU61" s="579"/>
      <c r="CV61" s="579"/>
      <c r="CW61" s="579"/>
      <c r="CX61" s="579"/>
      <c r="CY61" s="579"/>
      <c r="CZ61" s="579"/>
      <c r="DA61" s="579"/>
      <c r="DB61" s="579"/>
      <c r="DC61" s="579"/>
      <c r="DD61" s="579"/>
      <c r="DE61" s="579"/>
      <c r="DF61" s="579"/>
      <c r="DG61" s="586"/>
      <c r="DH61" s="586"/>
      <c r="DI61" s="579"/>
      <c r="DJ61" s="586"/>
      <c r="DK61" s="596"/>
      <c r="DL61" s="586"/>
      <c r="DM61" s="586"/>
      <c r="DN61" s="586"/>
      <c r="DO61" s="586"/>
      <c r="DP61" s="586"/>
      <c r="DQ61" s="768"/>
      <c r="DR61" s="926"/>
      <c r="DS61" s="586"/>
      <c r="DT61" s="580"/>
      <c r="DU61" s="578"/>
      <c r="DV61" s="581"/>
      <c r="DW61" s="933"/>
      <c r="DX61" s="925"/>
      <c r="DY61" s="925"/>
      <c r="DZ61" s="925"/>
      <c r="EA61" s="925"/>
      <c r="EB61" s="925"/>
      <c r="EC61" s="925"/>
      <c r="ED61" s="586"/>
      <c r="EE61" s="768"/>
      <c r="EF61" s="584"/>
      <c r="EG61" s="581"/>
      <c r="EH61" s="919"/>
      <c r="EI61" s="925"/>
      <c r="EJ61" s="925"/>
      <c r="EK61" s="925"/>
      <c r="EL61" s="925"/>
      <c r="EM61" s="925"/>
      <c r="EN61" s="925"/>
      <c r="EO61" s="925"/>
      <c r="EP61" s="925"/>
      <c r="EQ61" s="925"/>
      <c r="ER61" s="925"/>
      <c r="ES61" s="925"/>
      <c r="ET61" s="925"/>
      <c r="EU61" s="925"/>
      <c r="EV61" s="925"/>
      <c r="EW61" s="925"/>
      <c r="EX61" s="586"/>
      <c r="EY61" s="925"/>
      <c r="EZ61" s="925"/>
      <c r="FA61" s="596"/>
      <c r="FB61" s="925"/>
      <c r="FC61" s="579"/>
      <c r="FD61" s="579"/>
      <c r="FE61" s="586"/>
      <c r="FF61" s="586"/>
      <c r="FG61" s="586"/>
      <c r="FH61" s="586"/>
      <c r="FI61" s="586"/>
      <c r="FJ61" s="586"/>
      <c r="FK61" s="586"/>
      <c r="FL61" s="586"/>
      <c r="FM61" s="586"/>
      <c r="FN61" s="586"/>
      <c r="FO61" s="586"/>
      <c r="FP61" s="586"/>
      <c r="FQ61" s="586"/>
      <c r="FR61" s="586"/>
      <c r="FS61" s="586"/>
      <c r="FT61" s="586"/>
      <c r="FU61" s="586"/>
      <c r="FV61" s="586"/>
      <c r="FW61" s="586"/>
      <c r="FX61" s="586"/>
      <c r="FY61" s="586"/>
      <c r="FZ61" s="586"/>
      <c r="GA61" s="586"/>
      <c r="GB61" s="586"/>
      <c r="GC61" s="586"/>
      <c r="GD61" s="586"/>
      <c r="GE61" s="586"/>
      <c r="GF61" s="586"/>
      <c r="GG61" s="586"/>
      <c r="GH61" s="937"/>
      <c r="GI61" s="937"/>
      <c r="GJ61" s="807"/>
      <c r="GK61" s="937"/>
      <c r="GL61" s="937"/>
      <c r="GM61" s="590"/>
      <c r="GN61" s="586"/>
      <c r="GO61" s="586"/>
      <c r="GP61" s="586"/>
      <c r="GQ61" s="586"/>
      <c r="GR61" s="586"/>
      <c r="GS61" s="586"/>
      <c r="GT61" s="586"/>
      <c r="GU61" s="586"/>
      <c r="GV61" s="60"/>
      <c r="GW61" s="60"/>
      <c r="GX61" s="60"/>
      <c r="GY61" s="60"/>
      <c r="GZ61" s="60"/>
      <c r="HA61" s="60"/>
      <c r="HB61" s="60"/>
      <c r="HC61" s="60"/>
      <c r="HD61" s="60"/>
      <c r="HE61" s="60"/>
      <c r="HF61" s="586"/>
      <c r="HG61" s="586"/>
      <c r="HH61" s="586"/>
      <c r="HI61" s="586"/>
      <c r="HJ61" s="586"/>
      <c r="HK61" s="586"/>
      <c r="HL61" s="586"/>
      <c r="HM61" s="586"/>
      <c r="HN61" s="586"/>
      <c r="HO61" s="586"/>
      <c r="HP61" s="586"/>
      <c r="HQ61" s="586"/>
      <c r="HR61" s="586"/>
      <c r="HS61" s="586"/>
      <c r="HT61" s="586"/>
      <c r="HU61" s="586"/>
      <c r="HV61" s="586"/>
      <c r="HW61" s="586"/>
      <c r="HX61" s="586"/>
      <c r="HY61" s="586"/>
      <c r="HZ61" s="586"/>
      <c r="IA61" s="586"/>
      <c r="IB61" s="586"/>
      <c r="IC61" s="586"/>
      <c r="ID61" s="586"/>
      <c r="IE61" s="586"/>
      <c r="IF61" s="586"/>
      <c r="IG61" s="586"/>
      <c r="IH61" s="586"/>
      <c r="II61" s="586"/>
      <c r="IJ61" s="586"/>
      <c r="IK61" s="586"/>
      <c r="IL61" s="937"/>
      <c r="IM61" s="919"/>
      <c r="IN61" s="586"/>
      <c r="IO61" s="586"/>
      <c r="IP61" s="586"/>
      <c r="IQ61" s="587"/>
      <c r="IR61" s="587"/>
      <c r="IS61" s="587"/>
      <c r="IT61" s="587"/>
      <c r="IU61" s="587"/>
      <c r="IV61" s="587"/>
      <c r="IW61" s="587"/>
      <c r="IX61" s="587"/>
      <c r="IY61" s="587"/>
      <c r="IZ61" s="587"/>
      <c r="JA61" s="587"/>
      <c r="JB61" s="587"/>
      <c r="JC61" s="587"/>
      <c r="JD61" s="587"/>
      <c r="JE61" s="587"/>
      <c r="JF61" s="587"/>
      <c r="JG61" s="587"/>
      <c r="JH61" s="588"/>
      <c r="JI61" s="589"/>
      <c r="JJ61" s="587"/>
      <c r="JK61" s="587"/>
      <c r="JL61" s="587"/>
      <c r="JM61" s="589"/>
      <c r="JN61" s="590"/>
      <c r="JO61" s="589"/>
      <c r="JP61" s="591"/>
      <c r="JQ61" s="591"/>
      <c r="JR61" s="591"/>
      <c r="JS61" s="591"/>
      <c r="JT61" s="591"/>
      <c r="JU61" s="591"/>
      <c r="JV61" s="591"/>
      <c r="JW61" s="591"/>
      <c r="JX61" s="591"/>
      <c r="JY61" s="591"/>
      <c r="JZ61" s="591"/>
      <c r="KA61" s="591"/>
      <c r="KB61" s="591"/>
      <c r="KC61" s="591"/>
      <c r="KD61" s="592"/>
      <c r="KE61" s="592"/>
      <c r="KF61" s="1071"/>
      <c r="KI61" s="593"/>
    </row>
    <row r="62" spans="1:295" s="49" customFormat="1" ht="15.75" hidden="1" customHeight="1" x14ac:dyDescent="0.25">
      <c r="A62" s="560"/>
      <c r="B62" s="606"/>
      <c r="C62" s="804"/>
      <c r="D62" s="802">
        <f>C62/1.2</f>
        <v>0</v>
      </c>
      <c r="E62" s="2267"/>
      <c r="F62" s="561"/>
      <c r="G62" s="562"/>
      <c r="H62" s="563"/>
      <c r="I62" s="562"/>
      <c r="J62" s="562"/>
      <c r="K62" s="562"/>
      <c r="L62" s="564"/>
      <c r="M62" s="564"/>
      <c r="N62" s="565"/>
      <c r="O62" s="564"/>
      <c r="P62" s="564"/>
      <c r="Q62" s="566"/>
      <c r="R62" s="566"/>
      <c r="S62" s="564"/>
      <c r="T62" s="564"/>
      <c r="U62" s="564"/>
      <c r="V62" s="567"/>
      <c r="W62" s="2267"/>
      <c r="X62" s="568"/>
      <c r="Y62" s="568"/>
      <c r="Z62" s="568"/>
      <c r="AA62" s="568"/>
      <c r="AB62" s="568"/>
      <c r="AC62" s="569"/>
      <c r="AD62" s="570"/>
      <c r="AE62" s="598"/>
      <c r="AF62" s="660"/>
      <c r="AG62" s="655"/>
      <c r="AH62" s="658"/>
      <c r="AI62" s="658"/>
      <c r="AJ62" s="658"/>
      <c r="AK62" s="658"/>
      <c r="AL62" s="658"/>
      <c r="AM62" s="659"/>
      <c r="AN62" s="594"/>
      <c r="AO62" s="574"/>
      <c r="AP62" s="572"/>
      <c r="AQ62" s="602"/>
      <c r="AR62" s="576"/>
      <c r="AS62" s="577"/>
      <c r="AT62" s="2285"/>
      <c r="AU62" s="584"/>
      <c r="AV62" s="578"/>
      <c r="AW62" s="579"/>
      <c r="AX62" s="580"/>
      <c r="AY62" s="579"/>
      <c r="AZ62" s="579"/>
      <c r="BA62" s="579"/>
      <c r="BB62" s="579"/>
      <c r="BC62" s="580"/>
      <c r="BD62" s="579"/>
      <c r="BE62" s="585"/>
      <c r="BF62" s="585"/>
      <c r="BG62" s="579"/>
      <c r="BH62" s="581"/>
      <c r="BI62" s="1291"/>
      <c r="BJ62" s="566"/>
      <c r="BK62" s="566"/>
      <c r="BL62" s="583"/>
      <c r="BM62" s="582"/>
      <c r="BN62" s="566"/>
      <c r="BO62" s="566"/>
      <c r="BP62" s="583"/>
      <c r="BQ62" s="578"/>
      <c r="BR62" s="579"/>
      <c r="BS62" s="567"/>
      <c r="BT62" s="581"/>
      <c r="BU62" s="709"/>
      <c r="BV62" s="567"/>
      <c r="BW62" s="579"/>
      <c r="BX62" s="579"/>
      <c r="BY62" s="579"/>
      <c r="BZ62" s="581"/>
      <c r="CA62" s="584"/>
      <c r="CB62" s="581"/>
      <c r="CC62" s="2267"/>
      <c r="CD62" s="578"/>
      <c r="CE62" s="579"/>
      <c r="CF62" s="579"/>
      <c r="CG62" s="585"/>
      <c r="CH62" s="579"/>
      <c r="CI62" s="579"/>
      <c r="CJ62" s="579"/>
      <c r="CK62" s="579"/>
      <c r="CL62" s="579"/>
      <c r="CM62" s="579"/>
      <c r="CN62" s="579"/>
      <c r="CO62" s="579"/>
      <c r="CP62" s="579"/>
      <c r="CQ62" s="579"/>
      <c r="CR62" s="579"/>
      <c r="CS62" s="579"/>
      <c r="CT62" s="579"/>
      <c r="CU62" s="579"/>
      <c r="CV62" s="579"/>
      <c r="CW62" s="579"/>
      <c r="CX62" s="579"/>
      <c r="CY62" s="579"/>
      <c r="CZ62" s="579"/>
      <c r="DA62" s="579"/>
      <c r="DB62" s="579"/>
      <c r="DC62" s="579"/>
      <c r="DD62" s="579"/>
      <c r="DE62" s="579"/>
      <c r="DF62" s="579"/>
      <c r="DG62" s="586"/>
      <c r="DH62" s="586"/>
      <c r="DI62" s="579"/>
      <c r="DJ62" s="586"/>
      <c r="DK62" s="596"/>
      <c r="DL62" s="586"/>
      <c r="DM62" s="586"/>
      <c r="DN62" s="586"/>
      <c r="DO62" s="586"/>
      <c r="DP62" s="586"/>
      <c r="DQ62" s="768"/>
      <c r="DR62" s="926"/>
      <c r="DS62" s="586"/>
      <c r="DT62" s="580"/>
      <c r="DU62" s="578"/>
      <c r="DV62" s="581"/>
      <c r="DW62" s="933"/>
      <c r="DX62" s="925"/>
      <c r="DY62" s="925"/>
      <c r="DZ62" s="925"/>
      <c r="EA62" s="925"/>
      <c r="EB62" s="925"/>
      <c r="EC62" s="925"/>
      <c r="ED62" s="586"/>
      <c r="EE62" s="768"/>
      <c r="EF62" s="584"/>
      <c r="EG62" s="581"/>
      <c r="EH62" s="919"/>
      <c r="EI62" s="925"/>
      <c r="EJ62" s="925"/>
      <c r="EK62" s="925"/>
      <c r="EL62" s="925"/>
      <c r="EM62" s="925"/>
      <c r="EN62" s="925"/>
      <c r="EO62" s="925"/>
      <c r="EP62" s="925"/>
      <c r="EQ62" s="925"/>
      <c r="ER62" s="925"/>
      <c r="ES62" s="925"/>
      <c r="ET62" s="925"/>
      <c r="EU62" s="925"/>
      <c r="EV62" s="925"/>
      <c r="EW62" s="925"/>
      <c r="EX62" s="586"/>
      <c r="EY62" s="925"/>
      <c r="EZ62" s="925"/>
      <c r="FA62" s="596"/>
      <c r="FB62" s="925"/>
      <c r="FC62" s="579"/>
      <c r="FD62" s="579"/>
      <c r="FE62" s="586"/>
      <c r="FF62" s="586"/>
      <c r="FG62" s="586"/>
      <c r="FH62" s="586"/>
      <c r="FI62" s="586"/>
      <c r="FJ62" s="586"/>
      <c r="FK62" s="586"/>
      <c r="FL62" s="586"/>
      <c r="FM62" s="586"/>
      <c r="FN62" s="586"/>
      <c r="FO62" s="586"/>
      <c r="FP62" s="586"/>
      <c r="FQ62" s="586"/>
      <c r="FR62" s="586"/>
      <c r="FS62" s="586"/>
      <c r="FT62" s="586"/>
      <c r="FU62" s="586"/>
      <c r="FV62" s="586"/>
      <c r="FW62" s="586"/>
      <c r="FX62" s="586"/>
      <c r="FY62" s="586"/>
      <c r="FZ62" s="586"/>
      <c r="GA62" s="586"/>
      <c r="GB62" s="586"/>
      <c r="GC62" s="586"/>
      <c r="GD62" s="586"/>
      <c r="GE62" s="586"/>
      <c r="GF62" s="586"/>
      <c r="GG62" s="586"/>
      <c r="GH62" s="937"/>
      <c r="GI62" s="937"/>
      <c r="GJ62" s="807"/>
      <c r="GK62" s="937"/>
      <c r="GL62" s="937"/>
      <c r="GM62" s="590"/>
      <c r="GN62" s="586"/>
      <c r="GO62" s="586"/>
      <c r="GP62" s="586"/>
      <c r="GQ62" s="586"/>
      <c r="GR62" s="586"/>
      <c r="GS62" s="586"/>
      <c r="GT62" s="586"/>
      <c r="GU62" s="586"/>
      <c r="GV62" s="60"/>
      <c r="GW62" s="60"/>
      <c r="GX62" s="60"/>
      <c r="GY62" s="60"/>
      <c r="GZ62" s="60"/>
      <c r="HA62" s="60"/>
      <c r="HB62" s="60"/>
      <c r="HC62" s="60"/>
      <c r="HD62" s="60"/>
      <c r="HE62" s="60"/>
      <c r="HF62" s="586"/>
      <c r="HG62" s="586"/>
      <c r="HH62" s="586"/>
      <c r="HI62" s="586"/>
      <c r="HJ62" s="586"/>
      <c r="HK62" s="586"/>
      <c r="HL62" s="586"/>
      <c r="HM62" s="586"/>
      <c r="HN62" s="586"/>
      <c r="HO62" s="586"/>
      <c r="HP62" s="586"/>
      <c r="HQ62" s="586"/>
      <c r="HR62" s="586"/>
      <c r="HS62" s="586"/>
      <c r="HT62" s="586"/>
      <c r="HU62" s="586"/>
      <c r="HV62" s="586"/>
      <c r="HW62" s="586"/>
      <c r="HX62" s="586"/>
      <c r="HY62" s="586"/>
      <c r="HZ62" s="586"/>
      <c r="IA62" s="586"/>
      <c r="IB62" s="586"/>
      <c r="IC62" s="586"/>
      <c r="ID62" s="586"/>
      <c r="IE62" s="586"/>
      <c r="IF62" s="586"/>
      <c r="IG62" s="586"/>
      <c r="IH62" s="586"/>
      <c r="II62" s="586"/>
      <c r="IJ62" s="586"/>
      <c r="IK62" s="586"/>
      <c r="IL62" s="937"/>
      <c r="IM62" s="919"/>
      <c r="IN62" s="586"/>
      <c r="IO62" s="586"/>
      <c r="IP62" s="586"/>
      <c r="IQ62" s="587"/>
      <c r="IR62" s="587"/>
      <c r="IS62" s="587"/>
      <c r="IT62" s="587"/>
      <c r="IU62" s="587"/>
      <c r="IV62" s="587"/>
      <c r="IW62" s="587"/>
      <c r="IX62" s="587"/>
      <c r="IY62" s="587"/>
      <c r="IZ62" s="587"/>
      <c r="JA62" s="587"/>
      <c r="JB62" s="587"/>
      <c r="JC62" s="587"/>
      <c r="JD62" s="587"/>
      <c r="JE62" s="587"/>
      <c r="JF62" s="587"/>
      <c r="JG62" s="587"/>
      <c r="JH62" s="588"/>
      <c r="JI62" s="589"/>
      <c r="JJ62" s="587"/>
      <c r="JK62" s="587"/>
      <c r="JL62" s="587"/>
      <c r="JM62" s="589"/>
      <c r="JN62" s="590"/>
      <c r="JO62" s="589"/>
      <c r="JP62" s="591"/>
      <c r="JQ62" s="591"/>
      <c r="JR62" s="591"/>
      <c r="JS62" s="591"/>
      <c r="JT62" s="591"/>
      <c r="JU62" s="591"/>
      <c r="JV62" s="591"/>
      <c r="JW62" s="591"/>
      <c r="JX62" s="591"/>
      <c r="JY62" s="591"/>
      <c r="JZ62" s="591"/>
      <c r="KA62" s="591"/>
      <c r="KB62" s="591"/>
      <c r="KC62" s="591"/>
      <c r="KD62" s="592"/>
      <c r="KE62" s="592"/>
      <c r="KF62" s="1071"/>
      <c r="KI62" s="593"/>
    </row>
    <row r="63" spans="1:295" s="49" customFormat="1" ht="19.5" hidden="1" customHeight="1" x14ac:dyDescent="0.25">
      <c r="A63" s="560"/>
      <c r="B63" s="597"/>
      <c r="C63" s="804"/>
      <c r="D63" s="802"/>
      <c r="E63" s="2267"/>
      <c r="F63" s="561"/>
      <c r="G63" s="562"/>
      <c r="H63" s="563"/>
      <c r="I63" s="562"/>
      <c r="J63" s="562"/>
      <c r="K63" s="562"/>
      <c r="L63" s="564"/>
      <c r="M63" s="564"/>
      <c r="N63" s="565"/>
      <c r="O63" s="564"/>
      <c r="P63" s="564"/>
      <c r="Q63" s="566"/>
      <c r="R63" s="566"/>
      <c r="S63" s="564"/>
      <c r="T63" s="564"/>
      <c r="U63" s="564"/>
      <c r="V63" s="567"/>
      <c r="W63" s="2267"/>
      <c r="X63" s="568"/>
      <c r="Y63" s="568"/>
      <c r="Z63" s="568"/>
      <c r="AA63" s="568"/>
      <c r="AB63" s="568"/>
      <c r="AC63" s="569"/>
      <c r="AD63" s="570"/>
      <c r="AE63" s="599">
        <f>X63*4.1/100</f>
        <v>0</v>
      </c>
      <c r="AF63" s="568"/>
      <c r="AG63" s="652"/>
      <c r="AH63" s="569"/>
      <c r="AI63" s="569"/>
      <c r="AJ63" s="569">
        <f>X63*24.67/100</f>
        <v>0</v>
      </c>
      <c r="AK63" s="569">
        <f>X63*17.37/100</f>
        <v>0</v>
      </c>
      <c r="AL63" s="569"/>
      <c r="AM63" s="653">
        <f>X63*24.78/100</f>
        <v>0</v>
      </c>
      <c r="AN63" s="601">
        <f>X63*1.92/100</f>
        <v>0</v>
      </c>
      <c r="AO63" s="574"/>
      <c r="AP63" s="559"/>
      <c r="AQ63" s="602"/>
      <c r="AR63" s="576"/>
      <c r="AS63" s="577"/>
      <c r="AT63" s="2285"/>
      <c r="AU63" s="584"/>
      <c r="AV63" s="578"/>
      <c r="AW63" s="579"/>
      <c r="AX63" s="580"/>
      <c r="AY63" s="579"/>
      <c r="AZ63" s="579"/>
      <c r="BA63" s="579"/>
      <c r="BB63" s="579"/>
      <c r="BC63" s="580"/>
      <c r="BD63" s="579"/>
      <c r="BE63" s="585"/>
      <c r="BF63" s="585"/>
      <c r="BG63" s="579"/>
      <c r="BH63" s="581"/>
      <c r="BI63" s="1291"/>
      <c r="BJ63" s="566"/>
      <c r="BK63" s="566"/>
      <c r="BL63" s="583"/>
      <c r="BM63" s="582"/>
      <c r="BN63" s="566"/>
      <c r="BO63" s="566"/>
      <c r="BP63" s="583"/>
      <c r="BQ63" s="578"/>
      <c r="BR63" s="579"/>
      <c r="BS63" s="567"/>
      <c r="BT63" s="581"/>
      <c r="BU63" s="709"/>
      <c r="BV63" s="567"/>
      <c r="BW63" s="579"/>
      <c r="BX63" s="579"/>
      <c r="BY63" s="579"/>
      <c r="BZ63" s="581"/>
      <c r="CA63" s="584"/>
      <c r="CB63" s="581"/>
      <c r="CC63" s="2267"/>
      <c r="CD63" s="578"/>
      <c r="CE63" s="579"/>
      <c r="CF63" s="579"/>
      <c r="CG63" s="585"/>
      <c r="CH63" s="579"/>
      <c r="CI63" s="579"/>
      <c r="CJ63" s="579"/>
      <c r="CK63" s="579"/>
      <c r="CL63" s="579"/>
      <c r="CM63" s="579"/>
      <c r="CN63" s="579"/>
      <c r="CO63" s="579"/>
      <c r="CP63" s="579"/>
      <c r="CQ63" s="579"/>
      <c r="CR63" s="579"/>
      <c r="CS63" s="579"/>
      <c r="CT63" s="579"/>
      <c r="CU63" s="579"/>
      <c r="CV63" s="579"/>
      <c r="CW63" s="579"/>
      <c r="CX63" s="579"/>
      <c r="CY63" s="579"/>
      <c r="CZ63" s="579"/>
      <c r="DA63" s="579"/>
      <c r="DB63" s="579"/>
      <c r="DC63" s="579"/>
      <c r="DD63" s="579"/>
      <c r="DE63" s="579"/>
      <c r="DF63" s="579"/>
      <c r="DG63" s="586"/>
      <c r="DH63" s="586"/>
      <c r="DI63" s="579"/>
      <c r="DJ63" s="586"/>
      <c r="DK63" s="596"/>
      <c r="DL63" s="586"/>
      <c r="DM63" s="586"/>
      <c r="DN63" s="586"/>
      <c r="DO63" s="586"/>
      <c r="DP63" s="586"/>
      <c r="DQ63" s="768"/>
      <c r="DR63" s="926"/>
      <c r="DS63" s="586"/>
      <c r="DT63" s="580"/>
      <c r="DU63" s="578"/>
      <c r="DV63" s="581"/>
      <c r="DW63" s="933"/>
      <c r="DX63" s="925"/>
      <c r="DY63" s="925"/>
      <c r="DZ63" s="925"/>
      <c r="EA63" s="925"/>
      <c r="EB63" s="925"/>
      <c r="EC63" s="925"/>
      <c r="ED63" s="586"/>
      <c r="EE63" s="768"/>
      <c r="EF63" s="584"/>
      <c r="EG63" s="581"/>
      <c r="EH63" s="919"/>
      <c r="EI63" s="925"/>
      <c r="EJ63" s="925"/>
      <c r="EK63" s="925"/>
      <c r="EL63" s="925"/>
      <c r="EM63" s="925"/>
      <c r="EN63" s="925"/>
      <c r="EO63" s="925"/>
      <c r="EP63" s="925"/>
      <c r="EQ63" s="925"/>
      <c r="ER63" s="925"/>
      <c r="ES63" s="925"/>
      <c r="ET63" s="925"/>
      <c r="EU63" s="925"/>
      <c r="EV63" s="925"/>
      <c r="EW63" s="925"/>
      <c r="EX63" s="586"/>
      <c r="EY63" s="925"/>
      <c r="EZ63" s="925"/>
      <c r="FA63" s="596"/>
      <c r="FB63" s="925"/>
      <c r="FC63" s="579"/>
      <c r="FD63" s="579"/>
      <c r="FE63" s="586"/>
      <c r="FF63" s="586"/>
      <c r="FG63" s="586"/>
      <c r="FH63" s="586"/>
      <c r="FI63" s="586"/>
      <c r="FJ63" s="586"/>
      <c r="FK63" s="586"/>
      <c r="FL63" s="586"/>
      <c r="FM63" s="586"/>
      <c r="FN63" s="586"/>
      <c r="FO63" s="586"/>
      <c r="FP63" s="586"/>
      <c r="FQ63" s="586"/>
      <c r="FR63" s="586"/>
      <c r="FS63" s="586"/>
      <c r="FT63" s="586"/>
      <c r="FU63" s="586"/>
      <c r="FV63" s="586"/>
      <c r="FW63" s="586"/>
      <c r="FX63" s="586"/>
      <c r="FY63" s="586"/>
      <c r="FZ63" s="586"/>
      <c r="GA63" s="586"/>
      <c r="GB63" s="586"/>
      <c r="GC63" s="586"/>
      <c r="GD63" s="586"/>
      <c r="GE63" s="586"/>
      <c r="GF63" s="586"/>
      <c r="GG63" s="586"/>
      <c r="GH63" s="937"/>
      <c r="GI63" s="937"/>
      <c r="GJ63" s="807"/>
      <c r="GK63" s="937"/>
      <c r="GL63" s="937"/>
      <c r="GM63" s="590"/>
      <c r="GN63" s="586"/>
      <c r="GO63" s="586"/>
      <c r="GP63" s="586"/>
      <c r="GQ63" s="586"/>
      <c r="GR63" s="586"/>
      <c r="GS63" s="586"/>
      <c r="GT63" s="586"/>
      <c r="GU63" s="586"/>
      <c r="GV63" s="60"/>
      <c r="GW63" s="60"/>
      <c r="GX63" s="60"/>
      <c r="GY63" s="60"/>
      <c r="GZ63" s="60"/>
      <c r="HA63" s="60"/>
      <c r="HB63" s="60"/>
      <c r="HC63" s="60"/>
      <c r="HD63" s="60"/>
      <c r="HE63" s="60"/>
      <c r="HF63" s="586"/>
      <c r="HG63" s="586"/>
      <c r="HH63" s="586"/>
      <c r="HI63" s="586"/>
      <c r="HJ63" s="586"/>
      <c r="HK63" s="586"/>
      <c r="HL63" s="586"/>
      <c r="HM63" s="586"/>
      <c r="HN63" s="586"/>
      <c r="HO63" s="586"/>
      <c r="HP63" s="586"/>
      <c r="HQ63" s="586"/>
      <c r="HR63" s="586"/>
      <c r="HS63" s="586"/>
      <c r="HT63" s="586"/>
      <c r="HU63" s="586"/>
      <c r="HV63" s="586"/>
      <c r="HW63" s="586"/>
      <c r="HX63" s="586"/>
      <c r="HY63" s="586"/>
      <c r="HZ63" s="586"/>
      <c r="IA63" s="586"/>
      <c r="IB63" s="586"/>
      <c r="IC63" s="586"/>
      <c r="ID63" s="586"/>
      <c r="IE63" s="586"/>
      <c r="IF63" s="586"/>
      <c r="IG63" s="586"/>
      <c r="IH63" s="586"/>
      <c r="II63" s="586"/>
      <c r="IJ63" s="586"/>
      <c r="IK63" s="586"/>
      <c r="IL63" s="937"/>
      <c r="IM63" s="919"/>
      <c r="IN63" s="586"/>
      <c r="IO63" s="586"/>
      <c r="IP63" s="586"/>
      <c r="IQ63" s="587"/>
      <c r="IR63" s="587"/>
      <c r="IS63" s="587"/>
      <c r="IT63" s="587"/>
      <c r="IU63" s="587"/>
      <c r="IV63" s="587"/>
      <c r="IW63" s="587"/>
      <c r="IX63" s="587"/>
      <c r="IY63" s="587"/>
      <c r="IZ63" s="587"/>
      <c r="JA63" s="587"/>
      <c r="JB63" s="587"/>
      <c r="JC63" s="587"/>
      <c r="JD63" s="587"/>
      <c r="JE63" s="587"/>
      <c r="JF63" s="587"/>
      <c r="JG63" s="587"/>
      <c r="JH63" s="588"/>
      <c r="JI63" s="589"/>
      <c r="JJ63" s="587"/>
      <c r="JK63" s="587"/>
      <c r="JL63" s="587"/>
      <c r="JM63" s="589"/>
      <c r="JN63" s="590"/>
      <c r="JO63" s="589"/>
      <c r="JP63" s="591"/>
      <c r="JQ63" s="591"/>
      <c r="JR63" s="591"/>
      <c r="JS63" s="591"/>
      <c r="JT63" s="591"/>
      <c r="JU63" s="591"/>
      <c r="JV63" s="591"/>
      <c r="JW63" s="591"/>
      <c r="JX63" s="591"/>
      <c r="JY63" s="591"/>
      <c r="JZ63" s="591"/>
      <c r="KA63" s="591"/>
      <c r="KB63" s="591"/>
      <c r="KC63" s="591"/>
      <c r="KD63" s="592"/>
      <c r="KE63" s="592"/>
      <c r="KF63" s="1071"/>
      <c r="KI63" s="593"/>
    </row>
    <row r="64" spans="1:295" s="49" customFormat="1" ht="18.75" hidden="1" customHeight="1" x14ac:dyDescent="0.25">
      <c r="A64" s="560"/>
      <c r="B64" s="597"/>
      <c r="C64" s="804"/>
      <c r="D64" s="802"/>
      <c r="E64" s="2267"/>
      <c r="F64" s="561"/>
      <c r="G64" s="562"/>
      <c r="H64" s="563"/>
      <c r="I64" s="562"/>
      <c r="J64" s="562"/>
      <c r="K64" s="562"/>
      <c r="L64" s="564"/>
      <c r="M64" s="564"/>
      <c r="N64" s="565"/>
      <c r="O64" s="564"/>
      <c r="P64" s="564"/>
      <c r="Q64" s="566"/>
      <c r="R64" s="566"/>
      <c r="S64" s="564"/>
      <c r="T64" s="564"/>
      <c r="U64" s="564"/>
      <c r="V64" s="567"/>
      <c r="W64" s="2267"/>
      <c r="X64" s="568"/>
      <c r="Y64" s="568"/>
      <c r="Z64" s="568"/>
      <c r="AA64" s="568"/>
      <c r="AB64" s="568"/>
      <c r="AC64" s="569"/>
      <c r="AD64" s="570"/>
      <c r="AE64" s="598">
        <f>6.1*X64/100</f>
        <v>0</v>
      </c>
      <c r="AF64" s="654"/>
      <c r="AG64" s="655"/>
      <c r="AH64" s="658"/>
      <c r="AI64" s="658"/>
      <c r="AJ64" s="658">
        <f>24.16*X64/100</f>
        <v>0</v>
      </c>
      <c r="AK64" s="658"/>
      <c r="AL64" s="658"/>
      <c r="AM64" s="659">
        <f>41.52*X64/100</f>
        <v>0</v>
      </c>
      <c r="AN64" s="594"/>
      <c r="AO64" s="574"/>
      <c r="AP64" s="572"/>
      <c r="AQ64" s="602"/>
      <c r="AR64" s="576"/>
      <c r="AS64" s="577"/>
      <c r="AT64" s="2285"/>
      <c r="AU64" s="584"/>
      <c r="AV64" s="578"/>
      <c r="AW64" s="579"/>
      <c r="AX64" s="580"/>
      <c r="AY64" s="579"/>
      <c r="AZ64" s="579"/>
      <c r="BA64" s="579"/>
      <c r="BB64" s="579"/>
      <c r="BC64" s="580"/>
      <c r="BD64" s="579"/>
      <c r="BE64" s="585"/>
      <c r="BF64" s="585"/>
      <c r="BG64" s="579"/>
      <c r="BH64" s="581"/>
      <c r="BI64" s="1291"/>
      <c r="BJ64" s="566"/>
      <c r="BK64" s="566"/>
      <c r="BL64" s="583"/>
      <c r="BM64" s="582"/>
      <c r="BN64" s="566"/>
      <c r="BO64" s="566"/>
      <c r="BP64" s="583"/>
      <c r="BQ64" s="578"/>
      <c r="BR64" s="579"/>
      <c r="BS64" s="567"/>
      <c r="BT64" s="581"/>
      <c r="BU64" s="709"/>
      <c r="BV64" s="567"/>
      <c r="BW64" s="579"/>
      <c r="BX64" s="579"/>
      <c r="BY64" s="579"/>
      <c r="BZ64" s="581"/>
      <c r="CA64" s="584"/>
      <c r="CB64" s="581"/>
      <c r="CC64" s="2267"/>
      <c r="CD64" s="578"/>
      <c r="CE64" s="579"/>
      <c r="CF64" s="579"/>
      <c r="CG64" s="585"/>
      <c r="CH64" s="579"/>
      <c r="CI64" s="579"/>
      <c r="CJ64" s="579"/>
      <c r="CK64" s="579"/>
      <c r="CL64" s="579"/>
      <c r="CM64" s="579"/>
      <c r="CN64" s="579"/>
      <c r="CO64" s="579"/>
      <c r="CP64" s="579"/>
      <c r="CQ64" s="579"/>
      <c r="CR64" s="579"/>
      <c r="CS64" s="579"/>
      <c r="CT64" s="579"/>
      <c r="CU64" s="579"/>
      <c r="CV64" s="579"/>
      <c r="CW64" s="579"/>
      <c r="CX64" s="579"/>
      <c r="CY64" s="579"/>
      <c r="CZ64" s="579"/>
      <c r="DA64" s="579"/>
      <c r="DB64" s="579"/>
      <c r="DC64" s="579"/>
      <c r="DD64" s="579"/>
      <c r="DE64" s="579"/>
      <c r="DF64" s="579"/>
      <c r="DG64" s="586"/>
      <c r="DH64" s="586"/>
      <c r="DI64" s="579"/>
      <c r="DJ64" s="586"/>
      <c r="DK64" s="596"/>
      <c r="DL64" s="586"/>
      <c r="DM64" s="586"/>
      <c r="DN64" s="586"/>
      <c r="DO64" s="586"/>
      <c r="DP64" s="586"/>
      <c r="DQ64" s="768"/>
      <c r="DR64" s="926"/>
      <c r="DS64" s="586"/>
      <c r="DT64" s="580"/>
      <c r="DU64" s="578"/>
      <c r="DV64" s="581"/>
      <c r="DW64" s="933"/>
      <c r="DX64" s="925"/>
      <c r="DY64" s="925"/>
      <c r="DZ64" s="925"/>
      <c r="EA64" s="925"/>
      <c r="EB64" s="925"/>
      <c r="EC64" s="925"/>
      <c r="ED64" s="586"/>
      <c r="EE64" s="768"/>
      <c r="EF64" s="584"/>
      <c r="EG64" s="581"/>
      <c r="EH64" s="919"/>
      <c r="EI64" s="925"/>
      <c r="EJ64" s="925"/>
      <c r="EK64" s="925"/>
      <c r="EL64" s="925"/>
      <c r="EM64" s="925"/>
      <c r="EN64" s="925"/>
      <c r="EO64" s="925"/>
      <c r="EP64" s="925"/>
      <c r="EQ64" s="925"/>
      <c r="ER64" s="925"/>
      <c r="ES64" s="925"/>
      <c r="ET64" s="925"/>
      <c r="EU64" s="925"/>
      <c r="EV64" s="925"/>
      <c r="EW64" s="925"/>
      <c r="EX64" s="586"/>
      <c r="EY64" s="925"/>
      <c r="EZ64" s="925"/>
      <c r="FA64" s="596"/>
      <c r="FB64" s="925"/>
      <c r="FC64" s="579"/>
      <c r="FD64" s="579"/>
      <c r="FE64" s="586"/>
      <c r="FF64" s="586"/>
      <c r="FG64" s="586"/>
      <c r="FH64" s="586"/>
      <c r="FI64" s="586"/>
      <c r="FJ64" s="586"/>
      <c r="FK64" s="586"/>
      <c r="FL64" s="586"/>
      <c r="FM64" s="586"/>
      <c r="FN64" s="586"/>
      <c r="FO64" s="586"/>
      <c r="FP64" s="586"/>
      <c r="FQ64" s="586"/>
      <c r="FR64" s="586"/>
      <c r="FS64" s="586"/>
      <c r="FT64" s="586"/>
      <c r="FU64" s="586"/>
      <c r="FV64" s="586"/>
      <c r="FW64" s="586"/>
      <c r="FX64" s="586"/>
      <c r="FY64" s="586"/>
      <c r="FZ64" s="586"/>
      <c r="GA64" s="586"/>
      <c r="GB64" s="586"/>
      <c r="GC64" s="586"/>
      <c r="GD64" s="586"/>
      <c r="GE64" s="586"/>
      <c r="GF64" s="586"/>
      <c r="GG64" s="586"/>
      <c r="GH64" s="937"/>
      <c r="GI64" s="937"/>
      <c r="GJ64" s="807"/>
      <c r="GK64" s="937"/>
      <c r="GL64" s="937"/>
      <c r="GM64" s="590"/>
      <c r="GN64" s="586"/>
      <c r="GO64" s="586"/>
      <c r="GP64" s="586"/>
      <c r="GQ64" s="586"/>
      <c r="GR64" s="586"/>
      <c r="GS64" s="586"/>
      <c r="GT64" s="586"/>
      <c r="GU64" s="586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586"/>
      <c r="HG64" s="586"/>
      <c r="HH64" s="586"/>
      <c r="HI64" s="586"/>
      <c r="HJ64" s="586"/>
      <c r="HK64" s="586"/>
      <c r="HL64" s="586"/>
      <c r="HM64" s="586"/>
      <c r="HN64" s="586"/>
      <c r="HO64" s="586"/>
      <c r="HP64" s="586"/>
      <c r="HQ64" s="586"/>
      <c r="HR64" s="586"/>
      <c r="HS64" s="586"/>
      <c r="HT64" s="586"/>
      <c r="HU64" s="586"/>
      <c r="HV64" s="586"/>
      <c r="HW64" s="586"/>
      <c r="HX64" s="586"/>
      <c r="HY64" s="586"/>
      <c r="HZ64" s="586"/>
      <c r="IA64" s="586"/>
      <c r="IB64" s="586"/>
      <c r="IC64" s="586"/>
      <c r="ID64" s="586"/>
      <c r="IE64" s="586"/>
      <c r="IF64" s="586"/>
      <c r="IG64" s="586"/>
      <c r="IH64" s="586"/>
      <c r="II64" s="586"/>
      <c r="IJ64" s="586"/>
      <c r="IK64" s="586"/>
      <c r="IL64" s="937"/>
      <c r="IM64" s="919"/>
      <c r="IN64" s="586"/>
      <c r="IO64" s="586"/>
      <c r="IP64" s="586"/>
      <c r="IQ64" s="587"/>
      <c r="IR64" s="587"/>
      <c r="IS64" s="587"/>
      <c r="IT64" s="587"/>
      <c r="IU64" s="587"/>
      <c r="IV64" s="587"/>
      <c r="IW64" s="587"/>
      <c r="IX64" s="587"/>
      <c r="IY64" s="587"/>
      <c r="IZ64" s="587"/>
      <c r="JA64" s="587"/>
      <c r="JB64" s="587"/>
      <c r="JC64" s="587"/>
      <c r="JD64" s="587"/>
      <c r="JE64" s="587"/>
      <c r="JF64" s="587"/>
      <c r="JG64" s="587"/>
      <c r="JH64" s="588"/>
      <c r="JI64" s="589"/>
      <c r="JJ64" s="587"/>
      <c r="JK64" s="587"/>
      <c r="JL64" s="587"/>
      <c r="JM64" s="589"/>
      <c r="JN64" s="590"/>
      <c r="JO64" s="589"/>
      <c r="JP64" s="591"/>
      <c r="JQ64" s="591"/>
      <c r="JR64" s="591"/>
      <c r="JS64" s="591"/>
      <c r="JT64" s="591"/>
      <c r="JU64" s="591"/>
      <c r="JV64" s="591"/>
      <c r="JW64" s="591"/>
      <c r="JX64" s="591"/>
      <c r="JY64" s="591"/>
      <c r="JZ64" s="591"/>
      <c r="KA64" s="591"/>
      <c r="KB64" s="591"/>
      <c r="KC64" s="591"/>
      <c r="KD64" s="592"/>
      <c r="KE64" s="592"/>
      <c r="KF64" s="1071"/>
      <c r="KI64" s="593"/>
    </row>
    <row r="65" spans="1:295" s="49" customFormat="1" ht="15.75" hidden="1" customHeight="1" x14ac:dyDescent="0.25">
      <c r="A65" s="560"/>
      <c r="B65" s="606"/>
      <c r="C65" s="804"/>
      <c r="D65" s="802">
        <f>C65/1.2</f>
        <v>0</v>
      </c>
      <c r="E65" s="2267"/>
      <c r="F65" s="561"/>
      <c r="G65" s="562"/>
      <c r="H65" s="563"/>
      <c r="I65" s="562"/>
      <c r="J65" s="562"/>
      <c r="K65" s="562"/>
      <c r="L65" s="564"/>
      <c r="M65" s="564"/>
      <c r="N65" s="565"/>
      <c r="O65" s="564"/>
      <c r="P65" s="564"/>
      <c r="Q65" s="566"/>
      <c r="R65" s="566"/>
      <c r="S65" s="564"/>
      <c r="T65" s="564"/>
      <c r="U65" s="564"/>
      <c r="V65" s="567"/>
      <c r="W65" s="2267"/>
      <c r="X65" s="568"/>
      <c r="Y65" s="568"/>
      <c r="Z65" s="568"/>
      <c r="AA65" s="568"/>
      <c r="AB65" s="568"/>
      <c r="AC65" s="569"/>
      <c r="AD65" s="570"/>
      <c r="AE65" s="599"/>
      <c r="AF65" s="568"/>
      <c r="AG65" s="652"/>
      <c r="AH65" s="569"/>
      <c r="AI65" s="569"/>
      <c r="AJ65" s="569"/>
      <c r="AK65" s="569"/>
      <c r="AL65" s="569"/>
      <c r="AM65" s="653"/>
      <c r="AN65" s="594"/>
      <c r="AO65" s="574"/>
      <c r="AP65" s="572"/>
      <c r="AQ65" s="602"/>
      <c r="AR65" s="576"/>
      <c r="AS65" s="577"/>
      <c r="AT65" s="2285"/>
      <c r="AU65" s="584"/>
      <c r="AV65" s="578"/>
      <c r="AW65" s="579"/>
      <c r="AX65" s="580"/>
      <c r="AY65" s="579"/>
      <c r="AZ65" s="579"/>
      <c r="BA65" s="579"/>
      <c r="BB65" s="579"/>
      <c r="BC65" s="580"/>
      <c r="BD65" s="579"/>
      <c r="BE65" s="585"/>
      <c r="BF65" s="585"/>
      <c r="BG65" s="579"/>
      <c r="BH65" s="581"/>
      <c r="BI65" s="1291"/>
      <c r="BJ65" s="566"/>
      <c r="BK65" s="566"/>
      <c r="BL65" s="583"/>
      <c r="BM65" s="582"/>
      <c r="BN65" s="566"/>
      <c r="BO65" s="566"/>
      <c r="BP65" s="583"/>
      <c r="BQ65" s="578"/>
      <c r="BR65" s="579"/>
      <c r="BS65" s="567"/>
      <c r="BT65" s="581"/>
      <c r="BU65" s="709"/>
      <c r="BV65" s="567"/>
      <c r="BW65" s="579"/>
      <c r="BX65" s="579"/>
      <c r="BY65" s="579"/>
      <c r="BZ65" s="581"/>
      <c r="CA65" s="584"/>
      <c r="CB65" s="581"/>
      <c r="CC65" s="2267"/>
      <c r="CD65" s="578"/>
      <c r="CE65" s="579"/>
      <c r="CF65" s="579"/>
      <c r="CG65" s="585"/>
      <c r="CH65" s="579"/>
      <c r="CI65" s="579"/>
      <c r="CJ65" s="579"/>
      <c r="CK65" s="579"/>
      <c r="CL65" s="579"/>
      <c r="CM65" s="579"/>
      <c r="CN65" s="579"/>
      <c r="CO65" s="579"/>
      <c r="CP65" s="579"/>
      <c r="CQ65" s="579"/>
      <c r="CR65" s="579"/>
      <c r="CS65" s="579"/>
      <c r="CT65" s="579"/>
      <c r="CU65" s="579"/>
      <c r="CV65" s="579"/>
      <c r="CW65" s="579"/>
      <c r="CX65" s="579"/>
      <c r="CY65" s="579"/>
      <c r="CZ65" s="579"/>
      <c r="DA65" s="579"/>
      <c r="DB65" s="579"/>
      <c r="DC65" s="579"/>
      <c r="DD65" s="579"/>
      <c r="DE65" s="579"/>
      <c r="DF65" s="579"/>
      <c r="DG65" s="586"/>
      <c r="DH65" s="586"/>
      <c r="DI65" s="579"/>
      <c r="DJ65" s="586"/>
      <c r="DK65" s="596"/>
      <c r="DL65" s="586"/>
      <c r="DM65" s="586"/>
      <c r="DN65" s="586"/>
      <c r="DO65" s="586"/>
      <c r="DP65" s="586"/>
      <c r="DQ65" s="768"/>
      <c r="DR65" s="926"/>
      <c r="DS65" s="586"/>
      <c r="DT65" s="580"/>
      <c r="DU65" s="578"/>
      <c r="DV65" s="581"/>
      <c r="DW65" s="933"/>
      <c r="DX65" s="925"/>
      <c r="DY65" s="925"/>
      <c r="DZ65" s="925"/>
      <c r="EA65" s="925"/>
      <c r="EB65" s="925"/>
      <c r="EC65" s="925"/>
      <c r="ED65" s="586"/>
      <c r="EE65" s="768"/>
      <c r="EF65" s="584"/>
      <c r="EG65" s="581"/>
      <c r="EH65" s="919"/>
      <c r="EI65" s="925"/>
      <c r="EJ65" s="925"/>
      <c r="EK65" s="925"/>
      <c r="EL65" s="925"/>
      <c r="EM65" s="925"/>
      <c r="EN65" s="925"/>
      <c r="EO65" s="925"/>
      <c r="EP65" s="925"/>
      <c r="EQ65" s="925"/>
      <c r="ER65" s="925"/>
      <c r="ES65" s="925"/>
      <c r="ET65" s="925"/>
      <c r="EU65" s="925"/>
      <c r="EV65" s="925"/>
      <c r="EW65" s="925"/>
      <c r="EX65" s="586"/>
      <c r="EY65" s="925"/>
      <c r="EZ65" s="925"/>
      <c r="FA65" s="596"/>
      <c r="FB65" s="925"/>
      <c r="FC65" s="579"/>
      <c r="FD65" s="579"/>
      <c r="FE65" s="586"/>
      <c r="FF65" s="586"/>
      <c r="FG65" s="586"/>
      <c r="FH65" s="586"/>
      <c r="FI65" s="586"/>
      <c r="FJ65" s="586"/>
      <c r="FK65" s="586"/>
      <c r="FL65" s="586"/>
      <c r="FM65" s="586"/>
      <c r="FN65" s="586"/>
      <c r="FO65" s="586"/>
      <c r="FP65" s="586"/>
      <c r="FQ65" s="586"/>
      <c r="FR65" s="586"/>
      <c r="FS65" s="586"/>
      <c r="FT65" s="586"/>
      <c r="FU65" s="586"/>
      <c r="FV65" s="586"/>
      <c r="FW65" s="586"/>
      <c r="FX65" s="586"/>
      <c r="FY65" s="586"/>
      <c r="FZ65" s="586"/>
      <c r="GA65" s="586"/>
      <c r="GB65" s="586"/>
      <c r="GC65" s="586"/>
      <c r="GD65" s="586"/>
      <c r="GE65" s="586"/>
      <c r="GF65" s="586"/>
      <c r="GG65" s="586"/>
      <c r="GH65" s="937"/>
      <c r="GI65" s="937"/>
      <c r="GJ65" s="807"/>
      <c r="GK65" s="937"/>
      <c r="GL65" s="937"/>
      <c r="GM65" s="590"/>
      <c r="GN65" s="586"/>
      <c r="GO65" s="586"/>
      <c r="GP65" s="586"/>
      <c r="GQ65" s="586"/>
      <c r="GR65" s="586"/>
      <c r="GS65" s="586"/>
      <c r="GT65" s="586"/>
      <c r="GU65" s="586"/>
      <c r="GV65" s="60"/>
      <c r="GW65" s="60"/>
      <c r="GX65" s="60"/>
      <c r="GY65" s="60"/>
      <c r="GZ65" s="60"/>
      <c r="HA65" s="60"/>
      <c r="HB65" s="60"/>
      <c r="HC65" s="60"/>
      <c r="HD65" s="60"/>
      <c r="HE65" s="60"/>
      <c r="HF65" s="586"/>
      <c r="HG65" s="586"/>
      <c r="HH65" s="586"/>
      <c r="HI65" s="586"/>
      <c r="HJ65" s="586"/>
      <c r="HK65" s="586"/>
      <c r="HL65" s="586"/>
      <c r="HM65" s="586"/>
      <c r="HN65" s="586"/>
      <c r="HO65" s="586"/>
      <c r="HP65" s="586"/>
      <c r="HQ65" s="586"/>
      <c r="HR65" s="586"/>
      <c r="HS65" s="586"/>
      <c r="HT65" s="586"/>
      <c r="HU65" s="586"/>
      <c r="HV65" s="586"/>
      <c r="HW65" s="586"/>
      <c r="HX65" s="586"/>
      <c r="HY65" s="586"/>
      <c r="HZ65" s="586"/>
      <c r="IA65" s="586"/>
      <c r="IB65" s="586"/>
      <c r="IC65" s="586"/>
      <c r="ID65" s="586"/>
      <c r="IE65" s="586"/>
      <c r="IF65" s="586"/>
      <c r="IG65" s="586"/>
      <c r="IH65" s="586"/>
      <c r="II65" s="586"/>
      <c r="IJ65" s="586"/>
      <c r="IK65" s="586"/>
      <c r="IL65" s="937"/>
      <c r="IM65" s="919"/>
      <c r="IN65" s="586"/>
      <c r="IO65" s="586"/>
      <c r="IP65" s="586"/>
      <c r="IQ65" s="587"/>
      <c r="IR65" s="587"/>
      <c r="IS65" s="587"/>
      <c r="IT65" s="587"/>
      <c r="IU65" s="587"/>
      <c r="IV65" s="587"/>
      <c r="IW65" s="587"/>
      <c r="IX65" s="587"/>
      <c r="IY65" s="587"/>
      <c r="IZ65" s="587"/>
      <c r="JA65" s="587"/>
      <c r="JB65" s="587"/>
      <c r="JC65" s="587"/>
      <c r="JD65" s="587"/>
      <c r="JE65" s="587"/>
      <c r="JF65" s="587"/>
      <c r="JG65" s="587"/>
      <c r="JH65" s="588"/>
      <c r="JI65" s="589"/>
      <c r="JJ65" s="587"/>
      <c r="JK65" s="587"/>
      <c r="JL65" s="587"/>
      <c r="JM65" s="589"/>
      <c r="JN65" s="590"/>
      <c r="JO65" s="589"/>
      <c r="JP65" s="591"/>
      <c r="JQ65" s="591"/>
      <c r="JR65" s="591"/>
      <c r="JS65" s="591"/>
      <c r="JT65" s="591"/>
      <c r="JU65" s="591"/>
      <c r="JV65" s="591"/>
      <c r="JW65" s="591"/>
      <c r="JX65" s="591"/>
      <c r="JY65" s="591"/>
      <c r="JZ65" s="591"/>
      <c r="KA65" s="591"/>
      <c r="KB65" s="612"/>
      <c r="KC65" s="612"/>
      <c r="KD65" s="592"/>
      <c r="KE65" s="592"/>
      <c r="KF65" s="1071"/>
      <c r="KI65" s="593"/>
    </row>
    <row r="66" spans="1:295" s="49" customFormat="1" ht="15.75" hidden="1" customHeight="1" x14ac:dyDescent="0.25">
      <c r="A66" s="560"/>
      <c r="B66" s="613"/>
      <c r="C66" s="804"/>
      <c r="D66" s="802">
        <f>C66/1.2</f>
        <v>0</v>
      </c>
      <c r="E66" s="2267"/>
      <c r="F66" s="561"/>
      <c r="G66" s="562"/>
      <c r="H66" s="563"/>
      <c r="I66" s="562"/>
      <c r="J66" s="562"/>
      <c r="K66" s="562"/>
      <c r="L66" s="564"/>
      <c r="M66" s="564"/>
      <c r="N66" s="565"/>
      <c r="O66" s="564"/>
      <c r="P66" s="564"/>
      <c r="Q66" s="566"/>
      <c r="R66" s="566"/>
      <c r="S66" s="564"/>
      <c r="T66" s="564"/>
      <c r="U66" s="564"/>
      <c r="V66" s="567"/>
      <c r="W66" s="2267"/>
      <c r="X66" s="568"/>
      <c r="Y66" s="568"/>
      <c r="Z66" s="568"/>
      <c r="AA66" s="568"/>
      <c r="AB66" s="568"/>
      <c r="AC66" s="569"/>
      <c r="AD66" s="570"/>
      <c r="AE66" s="599"/>
      <c r="AF66" s="568"/>
      <c r="AG66" s="652"/>
      <c r="AH66" s="569"/>
      <c r="AI66" s="569"/>
      <c r="AJ66" s="569"/>
      <c r="AK66" s="569"/>
      <c r="AL66" s="569"/>
      <c r="AM66" s="653"/>
      <c r="AN66" s="594"/>
      <c r="AO66" s="574"/>
      <c r="AP66" s="572"/>
      <c r="AQ66" s="602"/>
      <c r="AR66" s="576"/>
      <c r="AS66" s="577"/>
      <c r="AT66" s="2285"/>
      <c r="AU66" s="584"/>
      <c r="AV66" s="578"/>
      <c r="AW66" s="579"/>
      <c r="AX66" s="580"/>
      <c r="AY66" s="579"/>
      <c r="AZ66" s="579"/>
      <c r="BA66" s="579"/>
      <c r="BB66" s="579"/>
      <c r="BC66" s="580"/>
      <c r="BD66" s="579"/>
      <c r="BE66" s="585"/>
      <c r="BF66" s="585"/>
      <c r="BG66" s="579"/>
      <c r="BH66" s="581"/>
      <c r="BI66" s="1291"/>
      <c r="BJ66" s="566"/>
      <c r="BK66" s="566"/>
      <c r="BL66" s="583"/>
      <c r="BM66" s="582"/>
      <c r="BN66" s="566"/>
      <c r="BO66" s="566"/>
      <c r="BP66" s="583"/>
      <c r="BQ66" s="578"/>
      <c r="BR66" s="579"/>
      <c r="BS66" s="567"/>
      <c r="BT66" s="581"/>
      <c r="BU66" s="709"/>
      <c r="BV66" s="567"/>
      <c r="BW66" s="579"/>
      <c r="BX66" s="579"/>
      <c r="BY66" s="579"/>
      <c r="BZ66" s="581"/>
      <c r="CA66" s="584"/>
      <c r="CB66" s="581"/>
      <c r="CC66" s="2267"/>
      <c r="CD66" s="578"/>
      <c r="CE66" s="579"/>
      <c r="CF66" s="579"/>
      <c r="CG66" s="585"/>
      <c r="CH66" s="579"/>
      <c r="CI66" s="579"/>
      <c r="CJ66" s="579"/>
      <c r="CK66" s="579"/>
      <c r="CL66" s="579"/>
      <c r="CM66" s="579"/>
      <c r="CN66" s="579"/>
      <c r="CO66" s="579"/>
      <c r="CP66" s="579"/>
      <c r="CQ66" s="579"/>
      <c r="CR66" s="579"/>
      <c r="CS66" s="579"/>
      <c r="CT66" s="579"/>
      <c r="CU66" s="579"/>
      <c r="CV66" s="579"/>
      <c r="CW66" s="579"/>
      <c r="CX66" s="579"/>
      <c r="CY66" s="579"/>
      <c r="CZ66" s="579"/>
      <c r="DA66" s="579"/>
      <c r="DB66" s="579"/>
      <c r="DC66" s="579"/>
      <c r="DD66" s="579"/>
      <c r="DE66" s="579"/>
      <c r="DF66" s="579"/>
      <c r="DG66" s="586"/>
      <c r="DH66" s="586"/>
      <c r="DI66" s="579"/>
      <c r="DJ66" s="586"/>
      <c r="DK66" s="596"/>
      <c r="DL66" s="586"/>
      <c r="DM66" s="586"/>
      <c r="DN66" s="586"/>
      <c r="DO66" s="586"/>
      <c r="DP66" s="586"/>
      <c r="DQ66" s="768"/>
      <c r="DR66" s="926"/>
      <c r="DS66" s="586"/>
      <c r="DT66" s="580"/>
      <c r="DU66" s="578"/>
      <c r="DV66" s="581"/>
      <c r="DW66" s="933"/>
      <c r="DX66" s="925"/>
      <c r="DY66" s="925"/>
      <c r="DZ66" s="925"/>
      <c r="EA66" s="925"/>
      <c r="EB66" s="925"/>
      <c r="EC66" s="925"/>
      <c r="ED66" s="586"/>
      <c r="EE66" s="768"/>
      <c r="EF66" s="584"/>
      <c r="EG66" s="581"/>
      <c r="EH66" s="919"/>
      <c r="EI66" s="925"/>
      <c r="EJ66" s="925"/>
      <c r="EK66" s="925"/>
      <c r="EL66" s="925"/>
      <c r="EM66" s="925"/>
      <c r="EN66" s="925"/>
      <c r="EO66" s="925"/>
      <c r="EP66" s="925"/>
      <c r="EQ66" s="925"/>
      <c r="ER66" s="925"/>
      <c r="ES66" s="925"/>
      <c r="ET66" s="925"/>
      <c r="EU66" s="925"/>
      <c r="EV66" s="925"/>
      <c r="EW66" s="925"/>
      <c r="EX66" s="586"/>
      <c r="EY66" s="925"/>
      <c r="EZ66" s="925"/>
      <c r="FA66" s="596"/>
      <c r="FB66" s="925"/>
      <c r="FC66" s="579"/>
      <c r="FD66" s="579"/>
      <c r="FE66" s="586"/>
      <c r="FF66" s="586"/>
      <c r="FG66" s="586"/>
      <c r="FH66" s="586"/>
      <c r="FI66" s="586"/>
      <c r="FJ66" s="586"/>
      <c r="FK66" s="586"/>
      <c r="FL66" s="586"/>
      <c r="FM66" s="586"/>
      <c r="FN66" s="586"/>
      <c r="FO66" s="586"/>
      <c r="FP66" s="586"/>
      <c r="FQ66" s="586"/>
      <c r="FR66" s="586"/>
      <c r="FS66" s="586"/>
      <c r="FT66" s="586"/>
      <c r="FU66" s="586"/>
      <c r="FV66" s="586"/>
      <c r="FW66" s="586"/>
      <c r="FX66" s="586"/>
      <c r="FY66" s="586"/>
      <c r="FZ66" s="586"/>
      <c r="GA66" s="586"/>
      <c r="GB66" s="586"/>
      <c r="GC66" s="586"/>
      <c r="GD66" s="586"/>
      <c r="GE66" s="586"/>
      <c r="GF66" s="586"/>
      <c r="GG66" s="586"/>
      <c r="GH66" s="937"/>
      <c r="GI66" s="937"/>
      <c r="GJ66" s="807"/>
      <c r="GK66" s="937"/>
      <c r="GL66" s="937"/>
      <c r="GM66" s="590"/>
      <c r="GN66" s="586"/>
      <c r="GO66" s="586"/>
      <c r="GP66" s="586"/>
      <c r="GQ66" s="586"/>
      <c r="GR66" s="586"/>
      <c r="GS66" s="586"/>
      <c r="GT66" s="586"/>
      <c r="GU66" s="586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586"/>
      <c r="HG66" s="586"/>
      <c r="HH66" s="586"/>
      <c r="HI66" s="586"/>
      <c r="HJ66" s="586"/>
      <c r="HK66" s="586"/>
      <c r="HL66" s="586"/>
      <c r="HM66" s="586"/>
      <c r="HN66" s="586"/>
      <c r="HO66" s="586"/>
      <c r="HP66" s="586"/>
      <c r="HQ66" s="586"/>
      <c r="HR66" s="586"/>
      <c r="HS66" s="586"/>
      <c r="HT66" s="586"/>
      <c r="HU66" s="586"/>
      <c r="HV66" s="586"/>
      <c r="HW66" s="586"/>
      <c r="HX66" s="586"/>
      <c r="HY66" s="586"/>
      <c r="HZ66" s="586"/>
      <c r="IA66" s="586"/>
      <c r="IB66" s="586"/>
      <c r="IC66" s="586"/>
      <c r="ID66" s="586"/>
      <c r="IE66" s="586"/>
      <c r="IF66" s="586"/>
      <c r="IG66" s="586"/>
      <c r="IH66" s="586"/>
      <c r="II66" s="586"/>
      <c r="IJ66" s="586"/>
      <c r="IK66" s="586"/>
      <c r="IL66" s="937"/>
      <c r="IM66" s="919"/>
      <c r="IN66" s="586"/>
      <c r="IO66" s="586"/>
      <c r="IP66" s="586"/>
      <c r="IQ66" s="587"/>
      <c r="IR66" s="587"/>
      <c r="IS66" s="587"/>
      <c r="IT66" s="587"/>
      <c r="IU66" s="587"/>
      <c r="IV66" s="587"/>
      <c r="IW66" s="587"/>
      <c r="IX66" s="587"/>
      <c r="IY66" s="587"/>
      <c r="IZ66" s="587"/>
      <c r="JA66" s="587"/>
      <c r="JB66" s="587"/>
      <c r="JC66" s="587"/>
      <c r="JD66" s="587"/>
      <c r="JE66" s="587"/>
      <c r="JF66" s="587"/>
      <c r="JG66" s="587"/>
      <c r="JH66" s="588"/>
      <c r="JI66" s="589"/>
      <c r="JJ66" s="587"/>
      <c r="JK66" s="587"/>
      <c r="JL66" s="587"/>
      <c r="JM66" s="589"/>
      <c r="JN66" s="590"/>
      <c r="JO66" s="589"/>
      <c r="JP66" s="591"/>
      <c r="JQ66" s="591"/>
      <c r="JR66" s="591"/>
      <c r="JS66" s="591"/>
      <c r="JT66" s="591"/>
      <c r="JU66" s="591"/>
      <c r="JV66" s="591"/>
      <c r="JW66" s="591"/>
      <c r="JX66" s="591"/>
      <c r="JY66" s="591"/>
      <c r="JZ66" s="591"/>
      <c r="KA66" s="591"/>
      <c r="KB66" s="591"/>
      <c r="KC66" s="591"/>
      <c r="KD66" s="592"/>
      <c r="KE66" s="592"/>
      <c r="KF66" s="1071"/>
      <c r="KI66" s="593"/>
    </row>
    <row r="67" spans="1:295" s="49" customFormat="1" ht="15.75" hidden="1" customHeight="1" x14ac:dyDescent="0.25">
      <c r="A67" s="560"/>
      <c r="B67" s="597"/>
      <c r="C67" s="804"/>
      <c r="D67" s="802"/>
      <c r="E67" s="2267"/>
      <c r="F67" s="561"/>
      <c r="G67" s="562"/>
      <c r="H67" s="563"/>
      <c r="I67" s="562"/>
      <c r="J67" s="562"/>
      <c r="K67" s="562"/>
      <c r="L67" s="564"/>
      <c r="M67" s="564"/>
      <c r="N67" s="565"/>
      <c r="O67" s="564"/>
      <c r="P67" s="564"/>
      <c r="Q67" s="566"/>
      <c r="R67" s="566"/>
      <c r="S67" s="564"/>
      <c r="T67" s="564"/>
      <c r="U67" s="564"/>
      <c r="V67" s="567"/>
      <c r="W67" s="2267"/>
      <c r="X67" s="568"/>
      <c r="Y67" s="568"/>
      <c r="Z67" s="568"/>
      <c r="AA67" s="568"/>
      <c r="AB67" s="568"/>
      <c r="AC67" s="569"/>
      <c r="AD67" s="570"/>
      <c r="AE67" s="599">
        <f>X67*6.8/100</f>
        <v>0</v>
      </c>
      <c r="AF67" s="568"/>
      <c r="AG67" s="652"/>
      <c r="AH67" s="569"/>
      <c r="AI67" s="569"/>
      <c r="AJ67" s="569"/>
      <c r="AK67" s="569"/>
      <c r="AL67" s="569"/>
      <c r="AM67" s="653">
        <f>X67*63.4/100</f>
        <v>0</v>
      </c>
      <c r="AN67" s="594"/>
      <c r="AO67" s="574"/>
      <c r="AP67" s="572"/>
      <c r="AQ67" s="602"/>
      <c r="AR67" s="576"/>
      <c r="AS67" s="577"/>
      <c r="AT67" s="2285"/>
      <c r="AU67" s="584"/>
      <c r="AV67" s="578"/>
      <c r="AW67" s="579"/>
      <c r="AX67" s="580"/>
      <c r="AY67" s="579"/>
      <c r="AZ67" s="579"/>
      <c r="BA67" s="579"/>
      <c r="BB67" s="579"/>
      <c r="BC67" s="580"/>
      <c r="BD67" s="579"/>
      <c r="BE67" s="585"/>
      <c r="BF67" s="585"/>
      <c r="BG67" s="579"/>
      <c r="BH67" s="581"/>
      <c r="BI67" s="1291"/>
      <c r="BJ67" s="566"/>
      <c r="BK67" s="566"/>
      <c r="BL67" s="583"/>
      <c r="BM67" s="582"/>
      <c r="BN67" s="566"/>
      <c r="BO67" s="566"/>
      <c r="BP67" s="583"/>
      <c r="BQ67" s="578"/>
      <c r="BR67" s="579"/>
      <c r="BS67" s="567"/>
      <c r="BT67" s="581"/>
      <c r="BU67" s="709"/>
      <c r="BV67" s="567"/>
      <c r="BW67" s="579"/>
      <c r="BX67" s="579"/>
      <c r="BY67" s="579"/>
      <c r="BZ67" s="581"/>
      <c r="CA67" s="584"/>
      <c r="CB67" s="581"/>
      <c r="CC67" s="2267"/>
      <c r="CD67" s="578"/>
      <c r="CE67" s="579"/>
      <c r="CF67" s="579"/>
      <c r="CG67" s="585"/>
      <c r="CH67" s="579"/>
      <c r="CI67" s="579"/>
      <c r="CJ67" s="579"/>
      <c r="CK67" s="579"/>
      <c r="CL67" s="579"/>
      <c r="CM67" s="579"/>
      <c r="CN67" s="579"/>
      <c r="CO67" s="579"/>
      <c r="CP67" s="579"/>
      <c r="CQ67" s="579"/>
      <c r="CR67" s="579"/>
      <c r="CS67" s="579"/>
      <c r="CT67" s="579"/>
      <c r="CU67" s="579"/>
      <c r="CV67" s="579"/>
      <c r="CW67" s="579"/>
      <c r="CX67" s="579"/>
      <c r="CY67" s="579"/>
      <c r="CZ67" s="579"/>
      <c r="DA67" s="579"/>
      <c r="DB67" s="579"/>
      <c r="DC67" s="579"/>
      <c r="DD67" s="579"/>
      <c r="DE67" s="579"/>
      <c r="DF67" s="579"/>
      <c r="DG67" s="586"/>
      <c r="DH67" s="586"/>
      <c r="DI67" s="579"/>
      <c r="DJ67" s="586"/>
      <c r="DK67" s="596"/>
      <c r="DL67" s="586"/>
      <c r="DM67" s="586"/>
      <c r="DN67" s="586"/>
      <c r="DO67" s="586"/>
      <c r="DP67" s="586"/>
      <c r="DQ67" s="768"/>
      <c r="DR67" s="926"/>
      <c r="DS67" s="586"/>
      <c r="DT67" s="580"/>
      <c r="DU67" s="578"/>
      <c r="DV67" s="581"/>
      <c r="DW67" s="933"/>
      <c r="DX67" s="925"/>
      <c r="DY67" s="925"/>
      <c r="DZ67" s="925"/>
      <c r="EA67" s="925"/>
      <c r="EB67" s="925"/>
      <c r="EC67" s="925"/>
      <c r="ED67" s="586"/>
      <c r="EE67" s="768"/>
      <c r="EF67" s="584"/>
      <c r="EG67" s="581"/>
      <c r="EH67" s="919"/>
      <c r="EI67" s="925"/>
      <c r="EJ67" s="925"/>
      <c r="EK67" s="925"/>
      <c r="EL67" s="925"/>
      <c r="EM67" s="925"/>
      <c r="EN67" s="925"/>
      <c r="EO67" s="925"/>
      <c r="EP67" s="925"/>
      <c r="EQ67" s="925"/>
      <c r="ER67" s="925"/>
      <c r="ES67" s="925"/>
      <c r="ET67" s="925"/>
      <c r="EU67" s="925"/>
      <c r="EV67" s="925"/>
      <c r="EW67" s="925"/>
      <c r="EX67" s="586"/>
      <c r="EY67" s="925"/>
      <c r="EZ67" s="925"/>
      <c r="FA67" s="596"/>
      <c r="FB67" s="925"/>
      <c r="FC67" s="579"/>
      <c r="FD67" s="579"/>
      <c r="FE67" s="586"/>
      <c r="FF67" s="586"/>
      <c r="FG67" s="586"/>
      <c r="FH67" s="586"/>
      <c r="FI67" s="586"/>
      <c r="FJ67" s="586"/>
      <c r="FK67" s="586"/>
      <c r="FL67" s="586"/>
      <c r="FM67" s="586"/>
      <c r="FN67" s="586"/>
      <c r="FO67" s="586"/>
      <c r="FP67" s="586"/>
      <c r="FQ67" s="586"/>
      <c r="FR67" s="586"/>
      <c r="FS67" s="586"/>
      <c r="FT67" s="586"/>
      <c r="FU67" s="586"/>
      <c r="FV67" s="586"/>
      <c r="FW67" s="586"/>
      <c r="FX67" s="586"/>
      <c r="FY67" s="586"/>
      <c r="FZ67" s="586"/>
      <c r="GA67" s="586"/>
      <c r="GB67" s="586"/>
      <c r="GC67" s="586"/>
      <c r="GD67" s="586"/>
      <c r="GE67" s="586"/>
      <c r="GF67" s="586"/>
      <c r="GG67" s="586"/>
      <c r="GH67" s="937"/>
      <c r="GI67" s="937"/>
      <c r="GJ67" s="807"/>
      <c r="GK67" s="937"/>
      <c r="GL67" s="937"/>
      <c r="GM67" s="590"/>
      <c r="GN67" s="586"/>
      <c r="GO67" s="586"/>
      <c r="GP67" s="586"/>
      <c r="GQ67" s="586"/>
      <c r="GR67" s="586"/>
      <c r="GS67" s="586"/>
      <c r="GT67" s="586"/>
      <c r="GU67" s="586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586"/>
      <c r="HG67" s="586"/>
      <c r="HH67" s="586"/>
      <c r="HI67" s="586"/>
      <c r="HJ67" s="586"/>
      <c r="HK67" s="586"/>
      <c r="HL67" s="586"/>
      <c r="HM67" s="586"/>
      <c r="HN67" s="586"/>
      <c r="HO67" s="586"/>
      <c r="HP67" s="586"/>
      <c r="HQ67" s="586"/>
      <c r="HR67" s="586"/>
      <c r="HS67" s="586"/>
      <c r="HT67" s="586"/>
      <c r="HU67" s="586"/>
      <c r="HV67" s="586"/>
      <c r="HW67" s="586"/>
      <c r="HX67" s="586"/>
      <c r="HY67" s="586"/>
      <c r="HZ67" s="586"/>
      <c r="IA67" s="586"/>
      <c r="IB67" s="586"/>
      <c r="IC67" s="586"/>
      <c r="ID67" s="586"/>
      <c r="IE67" s="586"/>
      <c r="IF67" s="586"/>
      <c r="IG67" s="586"/>
      <c r="IH67" s="586"/>
      <c r="II67" s="586"/>
      <c r="IJ67" s="586"/>
      <c r="IK67" s="586"/>
      <c r="IL67" s="937"/>
      <c r="IM67" s="919"/>
      <c r="IN67" s="586"/>
      <c r="IO67" s="586"/>
      <c r="IP67" s="586"/>
      <c r="IQ67" s="587"/>
      <c r="IR67" s="587"/>
      <c r="IS67" s="587"/>
      <c r="IT67" s="587"/>
      <c r="IU67" s="587"/>
      <c r="IV67" s="587"/>
      <c r="IW67" s="587"/>
      <c r="IX67" s="587"/>
      <c r="IY67" s="587"/>
      <c r="IZ67" s="587"/>
      <c r="JA67" s="587"/>
      <c r="JB67" s="587"/>
      <c r="JC67" s="587"/>
      <c r="JD67" s="587"/>
      <c r="JE67" s="587"/>
      <c r="JF67" s="587"/>
      <c r="JG67" s="587"/>
      <c r="JH67" s="588"/>
      <c r="JI67" s="589"/>
      <c r="JJ67" s="587"/>
      <c r="JK67" s="587"/>
      <c r="JL67" s="587"/>
      <c r="JM67" s="589"/>
      <c r="JN67" s="590"/>
      <c r="JO67" s="589"/>
      <c r="JP67" s="591"/>
      <c r="JQ67" s="591"/>
      <c r="JR67" s="591"/>
      <c r="JS67" s="591"/>
      <c r="JT67" s="591"/>
      <c r="JU67" s="591"/>
      <c r="JV67" s="591"/>
      <c r="JW67" s="591"/>
      <c r="JX67" s="591"/>
      <c r="JY67" s="591"/>
      <c r="JZ67" s="591"/>
      <c r="KA67" s="591"/>
      <c r="KB67" s="591"/>
      <c r="KC67" s="591"/>
      <c r="KD67" s="592"/>
      <c r="KE67" s="592"/>
      <c r="KF67" s="1071"/>
      <c r="KI67" s="593"/>
    </row>
    <row r="68" spans="1:295" s="49" customFormat="1" ht="15.75" hidden="1" customHeight="1" x14ac:dyDescent="0.25">
      <c r="A68" s="560"/>
      <c r="B68" s="597"/>
      <c r="C68" s="804"/>
      <c r="D68" s="802"/>
      <c r="E68" s="2267"/>
      <c r="F68" s="561"/>
      <c r="G68" s="562"/>
      <c r="H68" s="563"/>
      <c r="I68" s="562"/>
      <c r="J68" s="562"/>
      <c r="K68" s="562"/>
      <c r="L68" s="564"/>
      <c r="M68" s="564"/>
      <c r="N68" s="565"/>
      <c r="O68" s="564"/>
      <c r="P68" s="564"/>
      <c r="Q68" s="566"/>
      <c r="R68" s="566"/>
      <c r="S68" s="564"/>
      <c r="T68" s="564"/>
      <c r="U68" s="564"/>
      <c r="V68" s="567"/>
      <c r="W68" s="2267"/>
      <c r="X68" s="568"/>
      <c r="Y68" s="568"/>
      <c r="Z68" s="568"/>
      <c r="AA68" s="568"/>
      <c r="AB68" s="568"/>
      <c r="AC68" s="569"/>
      <c r="AD68" s="570"/>
      <c r="AE68" s="599">
        <f>X68*4.1/100</f>
        <v>0</v>
      </c>
      <c r="AF68" s="568"/>
      <c r="AG68" s="652"/>
      <c r="AH68" s="569"/>
      <c r="AI68" s="569"/>
      <c r="AJ68" s="569">
        <f>X68*24.67/100</f>
        <v>0</v>
      </c>
      <c r="AK68" s="569">
        <f>X68*17.37/100</f>
        <v>0</v>
      </c>
      <c r="AL68" s="569"/>
      <c r="AM68" s="653">
        <f>X68*24.78/100</f>
        <v>0</v>
      </c>
      <c r="AN68" s="601">
        <f>X68*1.92/100</f>
        <v>0</v>
      </c>
      <c r="AO68" s="574"/>
      <c r="AP68" s="559"/>
      <c r="AQ68" s="602"/>
      <c r="AR68" s="576"/>
      <c r="AS68" s="577"/>
      <c r="AT68" s="2285"/>
      <c r="AU68" s="584"/>
      <c r="AV68" s="578"/>
      <c r="AW68" s="579"/>
      <c r="AX68" s="580"/>
      <c r="AY68" s="579"/>
      <c r="AZ68" s="579"/>
      <c r="BA68" s="579"/>
      <c r="BB68" s="579"/>
      <c r="BC68" s="580"/>
      <c r="BD68" s="579"/>
      <c r="BE68" s="585"/>
      <c r="BF68" s="585"/>
      <c r="BG68" s="579"/>
      <c r="BH68" s="581"/>
      <c r="BI68" s="1291"/>
      <c r="BJ68" s="566"/>
      <c r="BK68" s="566"/>
      <c r="BL68" s="583"/>
      <c r="BM68" s="582"/>
      <c r="BN68" s="566"/>
      <c r="BO68" s="566"/>
      <c r="BP68" s="583"/>
      <c r="BQ68" s="578"/>
      <c r="BR68" s="579"/>
      <c r="BS68" s="567"/>
      <c r="BT68" s="581"/>
      <c r="BU68" s="709"/>
      <c r="BV68" s="567"/>
      <c r="BW68" s="579"/>
      <c r="BX68" s="579"/>
      <c r="BY68" s="579"/>
      <c r="BZ68" s="581"/>
      <c r="CA68" s="584"/>
      <c r="CB68" s="581"/>
      <c r="CC68" s="2267"/>
      <c r="CD68" s="578"/>
      <c r="CE68" s="579"/>
      <c r="CF68" s="579"/>
      <c r="CG68" s="585"/>
      <c r="CH68" s="579"/>
      <c r="CI68" s="579"/>
      <c r="CJ68" s="579"/>
      <c r="CK68" s="579"/>
      <c r="CL68" s="579"/>
      <c r="CM68" s="579"/>
      <c r="CN68" s="579"/>
      <c r="CO68" s="579"/>
      <c r="CP68" s="579"/>
      <c r="CQ68" s="579"/>
      <c r="CR68" s="579"/>
      <c r="CS68" s="579"/>
      <c r="CT68" s="579"/>
      <c r="CU68" s="579"/>
      <c r="CV68" s="579"/>
      <c r="CW68" s="579"/>
      <c r="CX68" s="579"/>
      <c r="CY68" s="579"/>
      <c r="CZ68" s="579"/>
      <c r="DA68" s="579"/>
      <c r="DB68" s="579"/>
      <c r="DC68" s="579"/>
      <c r="DD68" s="579"/>
      <c r="DE68" s="579"/>
      <c r="DF68" s="579"/>
      <c r="DG68" s="586"/>
      <c r="DH68" s="586"/>
      <c r="DI68" s="579"/>
      <c r="DJ68" s="586"/>
      <c r="DK68" s="596"/>
      <c r="DL68" s="586"/>
      <c r="DM68" s="586"/>
      <c r="DN68" s="586"/>
      <c r="DO68" s="586"/>
      <c r="DP68" s="586"/>
      <c r="DQ68" s="768"/>
      <c r="DR68" s="926"/>
      <c r="DS68" s="586"/>
      <c r="DT68" s="580"/>
      <c r="DU68" s="578"/>
      <c r="DV68" s="581"/>
      <c r="DW68" s="933"/>
      <c r="DX68" s="925"/>
      <c r="DY68" s="925"/>
      <c r="DZ68" s="925"/>
      <c r="EA68" s="925"/>
      <c r="EB68" s="925"/>
      <c r="EC68" s="925"/>
      <c r="ED68" s="586"/>
      <c r="EE68" s="768"/>
      <c r="EF68" s="584"/>
      <c r="EG68" s="581"/>
      <c r="EH68" s="919"/>
      <c r="EI68" s="925"/>
      <c r="EJ68" s="925"/>
      <c r="EK68" s="925"/>
      <c r="EL68" s="925"/>
      <c r="EM68" s="925"/>
      <c r="EN68" s="925"/>
      <c r="EO68" s="925"/>
      <c r="EP68" s="925"/>
      <c r="EQ68" s="925"/>
      <c r="ER68" s="925"/>
      <c r="ES68" s="925"/>
      <c r="ET68" s="925"/>
      <c r="EU68" s="925"/>
      <c r="EV68" s="925"/>
      <c r="EW68" s="925"/>
      <c r="EX68" s="586"/>
      <c r="EY68" s="925"/>
      <c r="EZ68" s="925"/>
      <c r="FA68" s="596"/>
      <c r="FB68" s="925"/>
      <c r="FC68" s="579"/>
      <c r="FD68" s="579"/>
      <c r="FE68" s="586"/>
      <c r="FF68" s="586"/>
      <c r="FG68" s="586"/>
      <c r="FH68" s="586"/>
      <c r="FI68" s="586"/>
      <c r="FJ68" s="586"/>
      <c r="FK68" s="586"/>
      <c r="FL68" s="586"/>
      <c r="FM68" s="586"/>
      <c r="FN68" s="586"/>
      <c r="FO68" s="586"/>
      <c r="FP68" s="586"/>
      <c r="FQ68" s="586"/>
      <c r="FR68" s="586"/>
      <c r="FS68" s="586"/>
      <c r="FT68" s="586"/>
      <c r="FU68" s="586"/>
      <c r="FV68" s="586"/>
      <c r="FW68" s="586"/>
      <c r="FX68" s="586"/>
      <c r="FY68" s="586"/>
      <c r="FZ68" s="586"/>
      <c r="GA68" s="586"/>
      <c r="GB68" s="586"/>
      <c r="GC68" s="586"/>
      <c r="GD68" s="586"/>
      <c r="GE68" s="586"/>
      <c r="GF68" s="586"/>
      <c r="GG68" s="586"/>
      <c r="GH68" s="937"/>
      <c r="GI68" s="937"/>
      <c r="GJ68" s="807"/>
      <c r="GK68" s="937"/>
      <c r="GL68" s="937"/>
      <c r="GM68" s="590"/>
      <c r="GN68" s="586"/>
      <c r="GO68" s="586"/>
      <c r="GP68" s="586"/>
      <c r="GQ68" s="586"/>
      <c r="GR68" s="586"/>
      <c r="GS68" s="586"/>
      <c r="GT68" s="586"/>
      <c r="GU68" s="586"/>
      <c r="GV68" s="60"/>
      <c r="GW68" s="60"/>
      <c r="GX68" s="60"/>
      <c r="GY68" s="60"/>
      <c r="GZ68" s="60"/>
      <c r="HA68" s="60"/>
      <c r="HB68" s="60"/>
      <c r="HC68" s="60"/>
      <c r="HD68" s="60"/>
      <c r="HE68" s="60"/>
      <c r="HF68" s="586"/>
      <c r="HG68" s="586"/>
      <c r="HH68" s="586"/>
      <c r="HI68" s="586"/>
      <c r="HJ68" s="586"/>
      <c r="HK68" s="586"/>
      <c r="HL68" s="586"/>
      <c r="HM68" s="586"/>
      <c r="HN68" s="586"/>
      <c r="HO68" s="586"/>
      <c r="HP68" s="586"/>
      <c r="HQ68" s="586"/>
      <c r="HR68" s="586"/>
      <c r="HS68" s="586"/>
      <c r="HT68" s="586"/>
      <c r="HU68" s="586"/>
      <c r="HV68" s="586"/>
      <c r="HW68" s="586"/>
      <c r="HX68" s="586"/>
      <c r="HY68" s="586"/>
      <c r="HZ68" s="586"/>
      <c r="IA68" s="586"/>
      <c r="IB68" s="586"/>
      <c r="IC68" s="586"/>
      <c r="ID68" s="586"/>
      <c r="IE68" s="586"/>
      <c r="IF68" s="586"/>
      <c r="IG68" s="586"/>
      <c r="IH68" s="586"/>
      <c r="II68" s="586"/>
      <c r="IJ68" s="586"/>
      <c r="IK68" s="586"/>
      <c r="IL68" s="937"/>
      <c r="IM68" s="919"/>
      <c r="IN68" s="586"/>
      <c r="IO68" s="586"/>
      <c r="IP68" s="586"/>
      <c r="IQ68" s="587"/>
      <c r="IR68" s="587"/>
      <c r="IS68" s="587"/>
      <c r="IT68" s="587"/>
      <c r="IU68" s="587"/>
      <c r="IV68" s="587"/>
      <c r="IW68" s="587"/>
      <c r="IX68" s="587"/>
      <c r="IY68" s="587"/>
      <c r="IZ68" s="587"/>
      <c r="JA68" s="587"/>
      <c r="JB68" s="587"/>
      <c r="JC68" s="587"/>
      <c r="JD68" s="587"/>
      <c r="JE68" s="587"/>
      <c r="JF68" s="587"/>
      <c r="JG68" s="587"/>
      <c r="JH68" s="588"/>
      <c r="JI68" s="589"/>
      <c r="JJ68" s="587"/>
      <c r="JK68" s="587"/>
      <c r="JL68" s="587"/>
      <c r="JM68" s="589"/>
      <c r="JN68" s="590"/>
      <c r="JO68" s="589"/>
      <c r="JP68" s="591"/>
      <c r="JQ68" s="591"/>
      <c r="JR68" s="591"/>
      <c r="JS68" s="591"/>
      <c r="JT68" s="591"/>
      <c r="JU68" s="591"/>
      <c r="JV68" s="591"/>
      <c r="JW68" s="591"/>
      <c r="JX68" s="591"/>
      <c r="JY68" s="591"/>
      <c r="JZ68" s="591"/>
      <c r="KA68" s="591"/>
      <c r="KB68" s="591"/>
      <c r="KC68" s="591"/>
      <c r="KD68" s="592"/>
      <c r="KE68" s="592"/>
      <c r="KF68" s="1071"/>
      <c r="KI68" s="593"/>
    </row>
    <row r="69" spans="1:295" s="49" customFormat="1" ht="17.25" hidden="1" customHeight="1" x14ac:dyDescent="0.25">
      <c r="A69" s="560"/>
      <c r="B69" s="597"/>
      <c r="C69" s="804"/>
      <c r="D69" s="802"/>
      <c r="E69" s="2267"/>
      <c r="F69" s="561"/>
      <c r="G69" s="562"/>
      <c r="H69" s="563"/>
      <c r="I69" s="562"/>
      <c r="J69" s="562"/>
      <c r="K69" s="562"/>
      <c r="L69" s="564"/>
      <c r="M69" s="564"/>
      <c r="N69" s="565"/>
      <c r="O69" s="564"/>
      <c r="P69" s="564"/>
      <c r="Q69" s="566"/>
      <c r="R69" s="566"/>
      <c r="S69" s="564"/>
      <c r="T69" s="564"/>
      <c r="U69" s="564"/>
      <c r="V69" s="567"/>
      <c r="W69" s="2267"/>
      <c r="X69" s="568"/>
      <c r="Y69" s="568"/>
      <c r="Z69" s="568"/>
      <c r="AA69" s="568"/>
      <c r="AB69" s="568"/>
      <c r="AC69" s="569"/>
      <c r="AD69" s="570"/>
      <c r="AE69" s="598">
        <f>6.1*X69/100</f>
        <v>0</v>
      </c>
      <c r="AF69" s="654"/>
      <c r="AG69" s="655"/>
      <c r="AH69" s="658"/>
      <c r="AI69" s="658"/>
      <c r="AJ69" s="658">
        <f>24.16*X69/100</f>
        <v>0</v>
      </c>
      <c r="AK69" s="658"/>
      <c r="AL69" s="658"/>
      <c r="AM69" s="659">
        <f>41.52*X69/100</f>
        <v>0</v>
      </c>
      <c r="AN69" s="594"/>
      <c r="AO69" s="574"/>
      <c r="AP69" s="572"/>
      <c r="AQ69" s="602"/>
      <c r="AR69" s="576"/>
      <c r="AS69" s="577"/>
      <c r="AT69" s="2285"/>
      <c r="AU69" s="584"/>
      <c r="AV69" s="578"/>
      <c r="AW69" s="579"/>
      <c r="AX69" s="580"/>
      <c r="AY69" s="579"/>
      <c r="AZ69" s="579"/>
      <c r="BA69" s="579"/>
      <c r="BB69" s="579"/>
      <c r="BC69" s="580"/>
      <c r="BD69" s="579"/>
      <c r="BE69" s="585"/>
      <c r="BF69" s="585"/>
      <c r="BG69" s="579"/>
      <c r="BH69" s="581"/>
      <c r="BI69" s="1291"/>
      <c r="BJ69" s="566"/>
      <c r="BK69" s="566"/>
      <c r="BL69" s="583"/>
      <c r="BM69" s="582"/>
      <c r="BN69" s="566"/>
      <c r="BO69" s="566"/>
      <c r="BP69" s="583"/>
      <c r="BQ69" s="578"/>
      <c r="BR69" s="579"/>
      <c r="BS69" s="567"/>
      <c r="BT69" s="581"/>
      <c r="BU69" s="709"/>
      <c r="BV69" s="567"/>
      <c r="BW69" s="579"/>
      <c r="BX69" s="579"/>
      <c r="BY69" s="579"/>
      <c r="BZ69" s="581"/>
      <c r="CA69" s="584"/>
      <c r="CB69" s="581"/>
      <c r="CC69" s="2267"/>
      <c r="CD69" s="578"/>
      <c r="CE69" s="579"/>
      <c r="CF69" s="579"/>
      <c r="CG69" s="585"/>
      <c r="CH69" s="579"/>
      <c r="CI69" s="579"/>
      <c r="CJ69" s="579"/>
      <c r="CK69" s="579"/>
      <c r="CL69" s="579"/>
      <c r="CM69" s="579"/>
      <c r="CN69" s="579"/>
      <c r="CO69" s="579"/>
      <c r="CP69" s="579"/>
      <c r="CQ69" s="579"/>
      <c r="CR69" s="579"/>
      <c r="CS69" s="579"/>
      <c r="CT69" s="579"/>
      <c r="CU69" s="579"/>
      <c r="CV69" s="579"/>
      <c r="CW69" s="579"/>
      <c r="CX69" s="579"/>
      <c r="CY69" s="579"/>
      <c r="CZ69" s="579"/>
      <c r="DA69" s="579"/>
      <c r="DB69" s="579"/>
      <c r="DC69" s="579"/>
      <c r="DD69" s="579"/>
      <c r="DE69" s="579"/>
      <c r="DF69" s="579"/>
      <c r="DG69" s="586"/>
      <c r="DH69" s="586"/>
      <c r="DI69" s="579"/>
      <c r="DJ69" s="586"/>
      <c r="DK69" s="596"/>
      <c r="DL69" s="586"/>
      <c r="DM69" s="586"/>
      <c r="DN69" s="586"/>
      <c r="DO69" s="586"/>
      <c r="DP69" s="586"/>
      <c r="DQ69" s="768"/>
      <c r="DR69" s="926"/>
      <c r="DS69" s="586"/>
      <c r="DT69" s="580"/>
      <c r="DU69" s="578"/>
      <c r="DV69" s="581"/>
      <c r="DW69" s="933"/>
      <c r="DX69" s="925"/>
      <c r="DY69" s="925"/>
      <c r="DZ69" s="925"/>
      <c r="EA69" s="925"/>
      <c r="EB69" s="925"/>
      <c r="EC69" s="925"/>
      <c r="ED69" s="586"/>
      <c r="EE69" s="768"/>
      <c r="EF69" s="584"/>
      <c r="EG69" s="581"/>
      <c r="EH69" s="919"/>
      <c r="EI69" s="925"/>
      <c r="EJ69" s="925"/>
      <c r="EK69" s="925"/>
      <c r="EL69" s="925"/>
      <c r="EM69" s="925"/>
      <c r="EN69" s="925"/>
      <c r="EO69" s="925"/>
      <c r="EP69" s="925"/>
      <c r="EQ69" s="925"/>
      <c r="ER69" s="925"/>
      <c r="ES69" s="925"/>
      <c r="ET69" s="925"/>
      <c r="EU69" s="925"/>
      <c r="EV69" s="925"/>
      <c r="EW69" s="925"/>
      <c r="EX69" s="586"/>
      <c r="EY69" s="925"/>
      <c r="EZ69" s="925"/>
      <c r="FA69" s="596"/>
      <c r="FB69" s="925"/>
      <c r="FC69" s="579"/>
      <c r="FD69" s="579"/>
      <c r="FE69" s="586"/>
      <c r="FF69" s="586"/>
      <c r="FG69" s="586"/>
      <c r="FH69" s="586"/>
      <c r="FI69" s="586"/>
      <c r="FJ69" s="586"/>
      <c r="FK69" s="586"/>
      <c r="FL69" s="586"/>
      <c r="FM69" s="586"/>
      <c r="FN69" s="586"/>
      <c r="FO69" s="586"/>
      <c r="FP69" s="586"/>
      <c r="FQ69" s="586"/>
      <c r="FR69" s="586"/>
      <c r="FS69" s="586"/>
      <c r="FT69" s="586"/>
      <c r="FU69" s="586"/>
      <c r="FV69" s="586"/>
      <c r="FW69" s="586"/>
      <c r="FX69" s="586"/>
      <c r="FY69" s="586"/>
      <c r="FZ69" s="586"/>
      <c r="GA69" s="586"/>
      <c r="GB69" s="586"/>
      <c r="GC69" s="586"/>
      <c r="GD69" s="586"/>
      <c r="GE69" s="586"/>
      <c r="GF69" s="586"/>
      <c r="GG69" s="586"/>
      <c r="GH69" s="937"/>
      <c r="GI69" s="937"/>
      <c r="GJ69" s="807"/>
      <c r="GK69" s="937"/>
      <c r="GL69" s="937"/>
      <c r="GM69" s="590"/>
      <c r="GN69" s="586"/>
      <c r="GO69" s="586"/>
      <c r="GP69" s="586"/>
      <c r="GQ69" s="586"/>
      <c r="GR69" s="586"/>
      <c r="GS69" s="586"/>
      <c r="GT69" s="586"/>
      <c r="GU69" s="586"/>
      <c r="GV69" s="60"/>
      <c r="GW69" s="60"/>
      <c r="GX69" s="60"/>
      <c r="GY69" s="60"/>
      <c r="GZ69" s="60"/>
      <c r="HA69" s="60"/>
      <c r="HB69" s="60"/>
      <c r="HC69" s="60"/>
      <c r="HD69" s="60"/>
      <c r="HE69" s="60"/>
      <c r="HF69" s="586"/>
      <c r="HG69" s="586"/>
      <c r="HH69" s="586"/>
      <c r="HI69" s="586"/>
      <c r="HJ69" s="586"/>
      <c r="HK69" s="586"/>
      <c r="HL69" s="586"/>
      <c r="HM69" s="586"/>
      <c r="HN69" s="586"/>
      <c r="HO69" s="586"/>
      <c r="HP69" s="586"/>
      <c r="HQ69" s="586"/>
      <c r="HR69" s="586"/>
      <c r="HS69" s="586"/>
      <c r="HT69" s="586"/>
      <c r="HU69" s="586"/>
      <c r="HV69" s="586"/>
      <c r="HW69" s="586"/>
      <c r="HX69" s="586"/>
      <c r="HY69" s="586"/>
      <c r="HZ69" s="586"/>
      <c r="IA69" s="586"/>
      <c r="IB69" s="586"/>
      <c r="IC69" s="586"/>
      <c r="ID69" s="586"/>
      <c r="IE69" s="586"/>
      <c r="IF69" s="586"/>
      <c r="IG69" s="586"/>
      <c r="IH69" s="586"/>
      <c r="II69" s="586"/>
      <c r="IJ69" s="586"/>
      <c r="IK69" s="586"/>
      <c r="IL69" s="937"/>
      <c r="IM69" s="919"/>
      <c r="IN69" s="586"/>
      <c r="IO69" s="586"/>
      <c r="IP69" s="586"/>
      <c r="IQ69" s="587"/>
      <c r="IR69" s="587"/>
      <c r="IS69" s="587"/>
      <c r="IT69" s="587"/>
      <c r="IU69" s="587"/>
      <c r="IV69" s="587"/>
      <c r="IW69" s="587"/>
      <c r="IX69" s="587"/>
      <c r="IY69" s="587"/>
      <c r="IZ69" s="587"/>
      <c r="JA69" s="587"/>
      <c r="JB69" s="587"/>
      <c r="JC69" s="587"/>
      <c r="JD69" s="587"/>
      <c r="JE69" s="587"/>
      <c r="JF69" s="587"/>
      <c r="JG69" s="587"/>
      <c r="JH69" s="588"/>
      <c r="JI69" s="589"/>
      <c r="JJ69" s="587"/>
      <c r="JK69" s="587"/>
      <c r="JL69" s="587"/>
      <c r="JM69" s="589"/>
      <c r="JN69" s="590"/>
      <c r="JO69" s="589"/>
      <c r="JP69" s="591"/>
      <c r="JQ69" s="591"/>
      <c r="JR69" s="591"/>
      <c r="JS69" s="591"/>
      <c r="JT69" s="591"/>
      <c r="JU69" s="591"/>
      <c r="JV69" s="591"/>
      <c r="JW69" s="591"/>
      <c r="JX69" s="591"/>
      <c r="JY69" s="591"/>
      <c r="JZ69" s="591"/>
      <c r="KA69" s="591"/>
      <c r="KB69" s="591"/>
      <c r="KC69" s="591"/>
      <c r="KD69" s="592"/>
      <c r="KE69" s="592"/>
      <c r="KF69" s="1071"/>
      <c r="KI69" s="593"/>
    </row>
    <row r="70" spans="1:295" s="49" customFormat="1" ht="15.75" hidden="1" customHeight="1" x14ac:dyDescent="0.25">
      <c r="A70" s="560"/>
      <c r="B70" s="597"/>
      <c r="C70" s="804"/>
      <c r="D70" s="802"/>
      <c r="E70" s="2267"/>
      <c r="F70" s="561"/>
      <c r="G70" s="562"/>
      <c r="H70" s="563"/>
      <c r="I70" s="562"/>
      <c r="J70" s="562"/>
      <c r="K70" s="562"/>
      <c r="L70" s="564"/>
      <c r="M70" s="564"/>
      <c r="N70" s="565"/>
      <c r="O70" s="564"/>
      <c r="P70" s="564"/>
      <c r="Q70" s="566"/>
      <c r="R70" s="566"/>
      <c r="S70" s="564"/>
      <c r="T70" s="564"/>
      <c r="U70" s="564"/>
      <c r="V70" s="567"/>
      <c r="W70" s="2267"/>
      <c r="X70" s="568"/>
      <c r="Y70" s="568"/>
      <c r="Z70" s="568"/>
      <c r="AA70" s="568"/>
      <c r="AB70" s="568"/>
      <c r="AC70" s="569"/>
      <c r="AD70" s="570"/>
      <c r="AE70" s="598">
        <f>X70*6.05/100</f>
        <v>0</v>
      </c>
      <c r="AF70" s="660">
        <f>X70*13.76/100</f>
        <v>0</v>
      </c>
      <c r="AG70" s="655"/>
      <c r="AH70" s="658"/>
      <c r="AI70" s="658"/>
      <c r="AJ70" s="658">
        <f>X70*36.46/100</f>
        <v>0</v>
      </c>
      <c r="AK70" s="658"/>
      <c r="AL70" s="658"/>
      <c r="AM70" s="659">
        <f>X70*11.04/100</f>
        <v>0</v>
      </c>
      <c r="AN70" s="594">
        <f>X70*9.35/100</f>
        <v>0</v>
      </c>
      <c r="AO70" s="574">
        <f>V70*0.08/100</f>
        <v>0</v>
      </c>
      <c r="AP70" s="572"/>
      <c r="AQ70" s="602">
        <f>X70*0.08/100</f>
        <v>0</v>
      </c>
      <c r="AR70" s="576"/>
      <c r="AS70" s="577"/>
      <c r="AT70" s="2285"/>
      <c r="AU70" s="584"/>
      <c r="AV70" s="578"/>
      <c r="AW70" s="579"/>
      <c r="AX70" s="580"/>
      <c r="AY70" s="579"/>
      <c r="AZ70" s="579"/>
      <c r="BA70" s="579"/>
      <c r="BB70" s="579"/>
      <c r="BC70" s="580"/>
      <c r="BD70" s="579"/>
      <c r="BE70" s="585"/>
      <c r="BF70" s="585"/>
      <c r="BG70" s="579"/>
      <c r="BH70" s="581"/>
      <c r="BI70" s="1291"/>
      <c r="BJ70" s="566"/>
      <c r="BK70" s="566"/>
      <c r="BL70" s="583"/>
      <c r="BM70" s="582"/>
      <c r="BN70" s="566"/>
      <c r="BO70" s="566"/>
      <c r="BP70" s="583"/>
      <c r="BQ70" s="578"/>
      <c r="BR70" s="579"/>
      <c r="BS70" s="567"/>
      <c r="BT70" s="581"/>
      <c r="BU70" s="709"/>
      <c r="BV70" s="567"/>
      <c r="BW70" s="579"/>
      <c r="BX70" s="579"/>
      <c r="BY70" s="579"/>
      <c r="BZ70" s="581"/>
      <c r="CA70" s="584"/>
      <c r="CB70" s="581"/>
      <c r="CC70" s="2267"/>
      <c r="CD70" s="578"/>
      <c r="CE70" s="579"/>
      <c r="CF70" s="579"/>
      <c r="CG70" s="585"/>
      <c r="CH70" s="579"/>
      <c r="CI70" s="579"/>
      <c r="CJ70" s="579"/>
      <c r="CK70" s="579"/>
      <c r="CL70" s="579"/>
      <c r="CM70" s="579"/>
      <c r="CN70" s="579"/>
      <c r="CO70" s="579"/>
      <c r="CP70" s="579"/>
      <c r="CQ70" s="579"/>
      <c r="CR70" s="579"/>
      <c r="CS70" s="579"/>
      <c r="CT70" s="579"/>
      <c r="CU70" s="579"/>
      <c r="CV70" s="579"/>
      <c r="CW70" s="579"/>
      <c r="CX70" s="579"/>
      <c r="CY70" s="579"/>
      <c r="CZ70" s="579"/>
      <c r="DA70" s="579"/>
      <c r="DB70" s="579"/>
      <c r="DC70" s="579"/>
      <c r="DD70" s="579"/>
      <c r="DE70" s="579"/>
      <c r="DF70" s="579"/>
      <c r="DG70" s="586"/>
      <c r="DH70" s="586"/>
      <c r="DI70" s="579"/>
      <c r="DJ70" s="586"/>
      <c r="DK70" s="596"/>
      <c r="DL70" s="586"/>
      <c r="DM70" s="586"/>
      <c r="DN70" s="586"/>
      <c r="DO70" s="586"/>
      <c r="DP70" s="586"/>
      <c r="DQ70" s="768"/>
      <c r="DR70" s="926"/>
      <c r="DS70" s="586"/>
      <c r="DT70" s="580"/>
      <c r="DU70" s="578"/>
      <c r="DV70" s="581"/>
      <c r="DW70" s="933"/>
      <c r="DX70" s="925"/>
      <c r="DY70" s="925"/>
      <c r="DZ70" s="925"/>
      <c r="EA70" s="925"/>
      <c r="EB70" s="925"/>
      <c r="EC70" s="925"/>
      <c r="ED70" s="586"/>
      <c r="EE70" s="768"/>
      <c r="EF70" s="584"/>
      <c r="EG70" s="581"/>
      <c r="EH70" s="919"/>
      <c r="EI70" s="925"/>
      <c r="EJ70" s="925"/>
      <c r="EK70" s="925"/>
      <c r="EL70" s="925"/>
      <c r="EM70" s="925"/>
      <c r="EN70" s="925"/>
      <c r="EO70" s="925"/>
      <c r="EP70" s="925"/>
      <c r="EQ70" s="925"/>
      <c r="ER70" s="925"/>
      <c r="ES70" s="925"/>
      <c r="ET70" s="925"/>
      <c r="EU70" s="925"/>
      <c r="EV70" s="925"/>
      <c r="EW70" s="925"/>
      <c r="EX70" s="586"/>
      <c r="EY70" s="925"/>
      <c r="EZ70" s="925"/>
      <c r="FA70" s="596"/>
      <c r="FB70" s="925"/>
      <c r="FC70" s="579"/>
      <c r="FD70" s="579"/>
      <c r="FE70" s="586"/>
      <c r="FF70" s="586"/>
      <c r="FG70" s="586"/>
      <c r="FH70" s="586"/>
      <c r="FI70" s="586"/>
      <c r="FJ70" s="586"/>
      <c r="FK70" s="586"/>
      <c r="FL70" s="586"/>
      <c r="FM70" s="586"/>
      <c r="FN70" s="586"/>
      <c r="FO70" s="586"/>
      <c r="FP70" s="586"/>
      <c r="FQ70" s="586"/>
      <c r="FR70" s="586"/>
      <c r="FS70" s="586"/>
      <c r="FT70" s="586"/>
      <c r="FU70" s="586"/>
      <c r="FV70" s="586"/>
      <c r="FW70" s="586"/>
      <c r="FX70" s="586"/>
      <c r="FY70" s="586"/>
      <c r="FZ70" s="586"/>
      <c r="GA70" s="586"/>
      <c r="GB70" s="586"/>
      <c r="GC70" s="586"/>
      <c r="GD70" s="586"/>
      <c r="GE70" s="586"/>
      <c r="GF70" s="586"/>
      <c r="GG70" s="586"/>
      <c r="GH70" s="937"/>
      <c r="GI70" s="937"/>
      <c r="GJ70" s="807"/>
      <c r="GK70" s="937"/>
      <c r="GL70" s="937"/>
      <c r="GM70" s="590"/>
      <c r="GN70" s="586"/>
      <c r="GO70" s="586"/>
      <c r="GP70" s="586"/>
      <c r="GQ70" s="586"/>
      <c r="GR70" s="586"/>
      <c r="GS70" s="586"/>
      <c r="GT70" s="586"/>
      <c r="GU70" s="586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586"/>
      <c r="HG70" s="586"/>
      <c r="HH70" s="586"/>
      <c r="HI70" s="586"/>
      <c r="HJ70" s="586"/>
      <c r="HK70" s="586"/>
      <c r="HL70" s="586"/>
      <c r="HM70" s="586"/>
      <c r="HN70" s="586"/>
      <c r="HO70" s="586"/>
      <c r="HP70" s="586"/>
      <c r="HQ70" s="586"/>
      <c r="HR70" s="586"/>
      <c r="HS70" s="586"/>
      <c r="HT70" s="586"/>
      <c r="HU70" s="586"/>
      <c r="HV70" s="586"/>
      <c r="HW70" s="586"/>
      <c r="HX70" s="586"/>
      <c r="HY70" s="586"/>
      <c r="HZ70" s="586"/>
      <c r="IA70" s="586"/>
      <c r="IB70" s="586"/>
      <c r="IC70" s="586"/>
      <c r="ID70" s="586"/>
      <c r="IE70" s="586"/>
      <c r="IF70" s="586"/>
      <c r="IG70" s="586"/>
      <c r="IH70" s="586"/>
      <c r="II70" s="586"/>
      <c r="IJ70" s="586"/>
      <c r="IK70" s="586"/>
      <c r="IL70" s="937"/>
      <c r="IM70" s="919"/>
      <c r="IN70" s="586"/>
      <c r="IO70" s="586"/>
      <c r="IP70" s="586"/>
      <c r="IQ70" s="587"/>
      <c r="IR70" s="587"/>
      <c r="IS70" s="587"/>
      <c r="IT70" s="587"/>
      <c r="IU70" s="587"/>
      <c r="IV70" s="587"/>
      <c r="IW70" s="587"/>
      <c r="IX70" s="587"/>
      <c r="IY70" s="587"/>
      <c r="IZ70" s="587"/>
      <c r="JA70" s="587"/>
      <c r="JB70" s="587"/>
      <c r="JC70" s="587"/>
      <c r="JD70" s="587"/>
      <c r="JE70" s="587"/>
      <c r="JF70" s="587"/>
      <c r="JG70" s="587"/>
      <c r="JH70" s="588"/>
      <c r="JI70" s="589"/>
      <c r="JJ70" s="587"/>
      <c r="JK70" s="587"/>
      <c r="JL70" s="587"/>
      <c r="JM70" s="589"/>
      <c r="JN70" s="590"/>
      <c r="JO70" s="589"/>
      <c r="JP70" s="591"/>
      <c r="JQ70" s="591"/>
      <c r="JR70" s="591"/>
      <c r="JS70" s="591"/>
      <c r="JT70" s="591"/>
      <c r="JU70" s="591"/>
      <c r="JV70" s="591"/>
      <c r="JW70" s="591"/>
      <c r="JX70" s="591"/>
      <c r="JY70" s="591"/>
      <c r="JZ70" s="591"/>
      <c r="KA70" s="591"/>
      <c r="KB70" s="591"/>
      <c r="KC70" s="591"/>
      <c r="KD70" s="592"/>
      <c r="KE70" s="592"/>
      <c r="KF70" s="1071"/>
      <c r="KI70" s="593"/>
    </row>
    <row r="71" spans="1:295" s="49" customFormat="1" ht="13.5" hidden="1" customHeight="1" x14ac:dyDescent="0.25">
      <c r="A71" s="560"/>
      <c r="B71" s="606"/>
      <c r="C71" s="804"/>
      <c r="D71" s="802">
        <f>C71/1.2</f>
        <v>0</v>
      </c>
      <c r="E71" s="2267"/>
      <c r="F71" s="561"/>
      <c r="G71" s="562"/>
      <c r="H71" s="563"/>
      <c r="I71" s="562"/>
      <c r="J71" s="562"/>
      <c r="K71" s="562"/>
      <c r="L71" s="564"/>
      <c r="M71" s="564"/>
      <c r="N71" s="565"/>
      <c r="O71" s="564"/>
      <c r="P71" s="564"/>
      <c r="Q71" s="566"/>
      <c r="R71" s="566"/>
      <c r="S71" s="564"/>
      <c r="T71" s="564"/>
      <c r="U71" s="564"/>
      <c r="V71" s="567"/>
      <c r="W71" s="2267"/>
      <c r="X71" s="568"/>
      <c r="Y71" s="568"/>
      <c r="Z71" s="568"/>
      <c r="AA71" s="568"/>
      <c r="AB71" s="568"/>
      <c r="AC71" s="569"/>
      <c r="AD71" s="570"/>
      <c r="AE71" s="598"/>
      <c r="AF71" s="660"/>
      <c r="AG71" s="655"/>
      <c r="AH71" s="658"/>
      <c r="AI71" s="658"/>
      <c r="AJ71" s="658"/>
      <c r="AK71" s="658"/>
      <c r="AL71" s="658"/>
      <c r="AM71" s="659"/>
      <c r="AN71" s="594"/>
      <c r="AO71" s="574"/>
      <c r="AP71" s="572"/>
      <c r="AQ71" s="602"/>
      <c r="AR71" s="576"/>
      <c r="AS71" s="577"/>
      <c r="AT71" s="2285"/>
      <c r="AU71" s="584"/>
      <c r="AV71" s="578"/>
      <c r="AW71" s="579"/>
      <c r="AX71" s="580"/>
      <c r="AY71" s="579"/>
      <c r="AZ71" s="579"/>
      <c r="BA71" s="579"/>
      <c r="BB71" s="579"/>
      <c r="BC71" s="580"/>
      <c r="BD71" s="579"/>
      <c r="BE71" s="585"/>
      <c r="BF71" s="585"/>
      <c r="BG71" s="579"/>
      <c r="BH71" s="581"/>
      <c r="BI71" s="1291"/>
      <c r="BJ71" s="566"/>
      <c r="BK71" s="566"/>
      <c r="BL71" s="583"/>
      <c r="BM71" s="582"/>
      <c r="BN71" s="566"/>
      <c r="BO71" s="566"/>
      <c r="BP71" s="583"/>
      <c r="BQ71" s="578"/>
      <c r="BR71" s="579"/>
      <c r="BS71" s="567"/>
      <c r="BT71" s="581"/>
      <c r="BU71" s="709"/>
      <c r="BV71" s="567"/>
      <c r="BW71" s="579"/>
      <c r="BX71" s="579"/>
      <c r="BY71" s="579"/>
      <c r="BZ71" s="581"/>
      <c r="CA71" s="584"/>
      <c r="CB71" s="581"/>
      <c r="CC71" s="2267"/>
      <c r="CD71" s="578"/>
      <c r="CE71" s="579"/>
      <c r="CF71" s="579"/>
      <c r="CG71" s="585"/>
      <c r="CH71" s="579"/>
      <c r="CI71" s="579"/>
      <c r="CJ71" s="579"/>
      <c r="CK71" s="579"/>
      <c r="CL71" s="579"/>
      <c r="CM71" s="579"/>
      <c r="CN71" s="579"/>
      <c r="CO71" s="579"/>
      <c r="CP71" s="579"/>
      <c r="CQ71" s="579"/>
      <c r="CR71" s="579"/>
      <c r="CS71" s="579"/>
      <c r="CT71" s="579"/>
      <c r="CU71" s="579"/>
      <c r="CV71" s="579"/>
      <c r="CW71" s="579"/>
      <c r="CX71" s="579"/>
      <c r="CY71" s="579"/>
      <c r="CZ71" s="579"/>
      <c r="DA71" s="579"/>
      <c r="DB71" s="579"/>
      <c r="DC71" s="579"/>
      <c r="DD71" s="579"/>
      <c r="DE71" s="579"/>
      <c r="DF71" s="579"/>
      <c r="DG71" s="586"/>
      <c r="DH71" s="586"/>
      <c r="DI71" s="579"/>
      <c r="DJ71" s="586"/>
      <c r="DK71" s="596"/>
      <c r="DL71" s="586"/>
      <c r="DM71" s="586"/>
      <c r="DN71" s="586"/>
      <c r="DO71" s="586"/>
      <c r="DP71" s="586"/>
      <c r="DQ71" s="768"/>
      <c r="DR71" s="926"/>
      <c r="DS71" s="586"/>
      <c r="DT71" s="580"/>
      <c r="DU71" s="578"/>
      <c r="DV71" s="581"/>
      <c r="DW71" s="933"/>
      <c r="DX71" s="925"/>
      <c r="DY71" s="925"/>
      <c r="DZ71" s="925"/>
      <c r="EA71" s="925"/>
      <c r="EB71" s="925"/>
      <c r="EC71" s="925"/>
      <c r="ED71" s="586"/>
      <c r="EE71" s="768"/>
      <c r="EF71" s="584"/>
      <c r="EG71" s="581"/>
      <c r="EH71" s="919"/>
      <c r="EI71" s="925"/>
      <c r="EJ71" s="925"/>
      <c r="EK71" s="925"/>
      <c r="EL71" s="925"/>
      <c r="EM71" s="925"/>
      <c r="EN71" s="925"/>
      <c r="EO71" s="925"/>
      <c r="EP71" s="925"/>
      <c r="EQ71" s="925"/>
      <c r="ER71" s="925"/>
      <c r="ES71" s="925"/>
      <c r="ET71" s="925"/>
      <c r="EU71" s="925"/>
      <c r="EV71" s="925"/>
      <c r="EW71" s="925"/>
      <c r="EX71" s="586"/>
      <c r="EY71" s="925"/>
      <c r="EZ71" s="925"/>
      <c r="FA71" s="596"/>
      <c r="FB71" s="925"/>
      <c r="FC71" s="579"/>
      <c r="FD71" s="579"/>
      <c r="FE71" s="586"/>
      <c r="FF71" s="586"/>
      <c r="FG71" s="586"/>
      <c r="FH71" s="586"/>
      <c r="FI71" s="586"/>
      <c r="FJ71" s="586"/>
      <c r="FK71" s="586"/>
      <c r="FL71" s="586"/>
      <c r="FM71" s="586"/>
      <c r="FN71" s="586"/>
      <c r="FO71" s="586"/>
      <c r="FP71" s="586"/>
      <c r="FQ71" s="586"/>
      <c r="FR71" s="586"/>
      <c r="FS71" s="586"/>
      <c r="FT71" s="586"/>
      <c r="FU71" s="586"/>
      <c r="FV71" s="586"/>
      <c r="FW71" s="586"/>
      <c r="FX71" s="586"/>
      <c r="FY71" s="586"/>
      <c r="FZ71" s="586"/>
      <c r="GA71" s="586"/>
      <c r="GB71" s="586"/>
      <c r="GC71" s="586"/>
      <c r="GD71" s="586"/>
      <c r="GE71" s="586"/>
      <c r="GF71" s="586"/>
      <c r="GG71" s="586"/>
      <c r="GH71" s="937"/>
      <c r="GI71" s="937"/>
      <c r="GJ71" s="807"/>
      <c r="GK71" s="937"/>
      <c r="GL71" s="937"/>
      <c r="GM71" s="590"/>
      <c r="GN71" s="586"/>
      <c r="GO71" s="586"/>
      <c r="GP71" s="586"/>
      <c r="GQ71" s="586"/>
      <c r="GR71" s="586"/>
      <c r="GS71" s="586"/>
      <c r="GT71" s="586"/>
      <c r="GU71" s="586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586"/>
      <c r="HG71" s="586"/>
      <c r="HH71" s="586"/>
      <c r="HI71" s="586"/>
      <c r="HJ71" s="586"/>
      <c r="HK71" s="586"/>
      <c r="HL71" s="586"/>
      <c r="HM71" s="586"/>
      <c r="HN71" s="586"/>
      <c r="HO71" s="586"/>
      <c r="HP71" s="586"/>
      <c r="HQ71" s="586"/>
      <c r="HR71" s="586"/>
      <c r="HS71" s="586"/>
      <c r="HT71" s="586"/>
      <c r="HU71" s="586"/>
      <c r="HV71" s="586"/>
      <c r="HW71" s="586"/>
      <c r="HX71" s="586"/>
      <c r="HY71" s="586"/>
      <c r="HZ71" s="586"/>
      <c r="IA71" s="586"/>
      <c r="IB71" s="586"/>
      <c r="IC71" s="586"/>
      <c r="ID71" s="586"/>
      <c r="IE71" s="586"/>
      <c r="IF71" s="586"/>
      <c r="IG71" s="586"/>
      <c r="IH71" s="586"/>
      <c r="II71" s="586"/>
      <c r="IJ71" s="586"/>
      <c r="IK71" s="586"/>
      <c r="IL71" s="937"/>
      <c r="IM71" s="919"/>
      <c r="IN71" s="586"/>
      <c r="IO71" s="586"/>
      <c r="IP71" s="586"/>
      <c r="IQ71" s="587"/>
      <c r="IR71" s="587"/>
      <c r="IS71" s="587"/>
      <c r="IT71" s="587"/>
      <c r="IU71" s="587"/>
      <c r="IV71" s="587"/>
      <c r="IW71" s="587"/>
      <c r="IX71" s="587"/>
      <c r="IY71" s="587"/>
      <c r="IZ71" s="587"/>
      <c r="JA71" s="587"/>
      <c r="JB71" s="587"/>
      <c r="JC71" s="587"/>
      <c r="JD71" s="587"/>
      <c r="JE71" s="587"/>
      <c r="JF71" s="587"/>
      <c r="JG71" s="587"/>
      <c r="JH71" s="588"/>
      <c r="JI71" s="589"/>
      <c r="JJ71" s="587"/>
      <c r="JK71" s="587"/>
      <c r="JL71" s="587"/>
      <c r="JM71" s="589"/>
      <c r="JN71" s="590"/>
      <c r="JO71" s="589"/>
      <c r="JP71" s="591"/>
      <c r="JQ71" s="591"/>
      <c r="JR71" s="591"/>
      <c r="JS71" s="591"/>
      <c r="JT71" s="591"/>
      <c r="JU71" s="591"/>
      <c r="JV71" s="591"/>
      <c r="JW71" s="591"/>
      <c r="JX71" s="591"/>
      <c r="JY71" s="591"/>
      <c r="JZ71" s="591"/>
      <c r="KA71" s="591"/>
      <c r="KB71" s="591"/>
      <c r="KC71" s="591"/>
      <c r="KD71" s="592"/>
      <c r="KE71" s="592"/>
      <c r="KF71" s="1071"/>
      <c r="KI71" s="593"/>
    </row>
    <row r="72" spans="1:295" s="49" customFormat="1" ht="15" hidden="1" customHeight="1" x14ac:dyDescent="0.25">
      <c r="A72" s="560"/>
      <c r="B72" s="597"/>
      <c r="C72" s="804"/>
      <c r="D72" s="802"/>
      <c r="E72" s="2267"/>
      <c r="F72" s="561"/>
      <c r="G72" s="562"/>
      <c r="H72" s="563"/>
      <c r="I72" s="562"/>
      <c r="J72" s="562"/>
      <c r="K72" s="562"/>
      <c r="L72" s="564"/>
      <c r="M72" s="564"/>
      <c r="N72" s="565"/>
      <c r="O72" s="564"/>
      <c r="P72" s="564"/>
      <c r="Q72" s="566"/>
      <c r="R72" s="566"/>
      <c r="S72" s="564"/>
      <c r="T72" s="564"/>
      <c r="U72" s="564"/>
      <c r="V72" s="567"/>
      <c r="W72" s="2267"/>
      <c r="X72" s="568"/>
      <c r="Y72" s="568"/>
      <c r="Z72" s="568"/>
      <c r="AA72" s="568"/>
      <c r="AB72" s="568"/>
      <c r="AC72" s="569"/>
      <c r="AD72" s="570"/>
      <c r="AE72" s="598">
        <f>6.1*X72/100</f>
        <v>0</v>
      </c>
      <c r="AF72" s="654"/>
      <c r="AG72" s="655"/>
      <c r="AH72" s="658"/>
      <c r="AI72" s="658"/>
      <c r="AJ72" s="658">
        <f>24.16*X72/100</f>
        <v>0</v>
      </c>
      <c r="AK72" s="658"/>
      <c r="AL72" s="658"/>
      <c r="AM72" s="659">
        <f>41.52*X72/100</f>
        <v>0</v>
      </c>
      <c r="AN72" s="594"/>
      <c r="AO72" s="574"/>
      <c r="AP72" s="572"/>
      <c r="AQ72" s="602"/>
      <c r="AR72" s="576"/>
      <c r="AS72" s="577"/>
      <c r="AT72" s="2285"/>
      <c r="AU72" s="584"/>
      <c r="AV72" s="578"/>
      <c r="AW72" s="579"/>
      <c r="AX72" s="580"/>
      <c r="AY72" s="579"/>
      <c r="AZ72" s="579"/>
      <c r="BA72" s="579"/>
      <c r="BB72" s="579"/>
      <c r="BC72" s="580"/>
      <c r="BD72" s="579"/>
      <c r="BE72" s="585"/>
      <c r="BF72" s="585"/>
      <c r="BG72" s="579"/>
      <c r="BH72" s="581"/>
      <c r="BI72" s="1291"/>
      <c r="BJ72" s="566"/>
      <c r="BK72" s="566"/>
      <c r="BL72" s="583"/>
      <c r="BM72" s="582"/>
      <c r="BN72" s="566"/>
      <c r="BO72" s="566"/>
      <c r="BP72" s="583"/>
      <c r="BQ72" s="578"/>
      <c r="BR72" s="579"/>
      <c r="BS72" s="567"/>
      <c r="BT72" s="581"/>
      <c r="BU72" s="709"/>
      <c r="BV72" s="567"/>
      <c r="BW72" s="579"/>
      <c r="BX72" s="579"/>
      <c r="BY72" s="579"/>
      <c r="BZ72" s="581"/>
      <c r="CA72" s="584"/>
      <c r="CB72" s="581"/>
      <c r="CC72" s="2267"/>
      <c r="CD72" s="578"/>
      <c r="CE72" s="579"/>
      <c r="CF72" s="579"/>
      <c r="CG72" s="585"/>
      <c r="CH72" s="579"/>
      <c r="CI72" s="579"/>
      <c r="CJ72" s="579"/>
      <c r="CK72" s="579"/>
      <c r="CL72" s="579"/>
      <c r="CM72" s="579"/>
      <c r="CN72" s="579"/>
      <c r="CO72" s="579"/>
      <c r="CP72" s="579"/>
      <c r="CQ72" s="579"/>
      <c r="CR72" s="579"/>
      <c r="CS72" s="579"/>
      <c r="CT72" s="579"/>
      <c r="CU72" s="579"/>
      <c r="CV72" s="579"/>
      <c r="CW72" s="579"/>
      <c r="CX72" s="579"/>
      <c r="CY72" s="579"/>
      <c r="CZ72" s="579"/>
      <c r="DA72" s="579"/>
      <c r="DB72" s="579"/>
      <c r="DC72" s="579"/>
      <c r="DD72" s="579"/>
      <c r="DE72" s="579"/>
      <c r="DF72" s="579"/>
      <c r="DG72" s="586"/>
      <c r="DH72" s="586"/>
      <c r="DI72" s="579"/>
      <c r="DJ72" s="586"/>
      <c r="DK72" s="596"/>
      <c r="DL72" s="586"/>
      <c r="DM72" s="586"/>
      <c r="DN72" s="586"/>
      <c r="DO72" s="586"/>
      <c r="DP72" s="586"/>
      <c r="DQ72" s="768"/>
      <c r="DR72" s="926"/>
      <c r="DS72" s="586"/>
      <c r="DT72" s="580"/>
      <c r="DU72" s="578"/>
      <c r="DV72" s="581"/>
      <c r="DW72" s="933"/>
      <c r="DX72" s="925"/>
      <c r="DY72" s="925"/>
      <c r="DZ72" s="925"/>
      <c r="EA72" s="925"/>
      <c r="EB72" s="925"/>
      <c r="EC72" s="925"/>
      <c r="ED72" s="586"/>
      <c r="EE72" s="768"/>
      <c r="EF72" s="584"/>
      <c r="EG72" s="581"/>
      <c r="EH72" s="919"/>
      <c r="EI72" s="925"/>
      <c r="EJ72" s="925"/>
      <c r="EK72" s="925"/>
      <c r="EL72" s="925"/>
      <c r="EM72" s="925"/>
      <c r="EN72" s="925"/>
      <c r="EO72" s="925"/>
      <c r="EP72" s="925"/>
      <c r="EQ72" s="925"/>
      <c r="ER72" s="925"/>
      <c r="ES72" s="925"/>
      <c r="ET72" s="925"/>
      <c r="EU72" s="925"/>
      <c r="EV72" s="925"/>
      <c r="EW72" s="925"/>
      <c r="EX72" s="586"/>
      <c r="EY72" s="925"/>
      <c r="EZ72" s="925"/>
      <c r="FA72" s="596"/>
      <c r="FB72" s="925"/>
      <c r="FC72" s="579"/>
      <c r="FD72" s="579"/>
      <c r="FE72" s="586"/>
      <c r="FF72" s="586"/>
      <c r="FG72" s="586"/>
      <c r="FH72" s="586"/>
      <c r="FI72" s="586"/>
      <c r="FJ72" s="586"/>
      <c r="FK72" s="586"/>
      <c r="FL72" s="586"/>
      <c r="FM72" s="586"/>
      <c r="FN72" s="586"/>
      <c r="FO72" s="586"/>
      <c r="FP72" s="586"/>
      <c r="FQ72" s="586"/>
      <c r="FR72" s="586"/>
      <c r="FS72" s="586"/>
      <c r="FT72" s="586"/>
      <c r="FU72" s="586"/>
      <c r="FV72" s="586"/>
      <c r="FW72" s="586"/>
      <c r="FX72" s="586"/>
      <c r="FY72" s="586"/>
      <c r="FZ72" s="586"/>
      <c r="GA72" s="586"/>
      <c r="GB72" s="586"/>
      <c r="GC72" s="586"/>
      <c r="GD72" s="586"/>
      <c r="GE72" s="586"/>
      <c r="GF72" s="586"/>
      <c r="GG72" s="586"/>
      <c r="GH72" s="937"/>
      <c r="GI72" s="937"/>
      <c r="GJ72" s="807"/>
      <c r="GK72" s="937"/>
      <c r="GL72" s="937"/>
      <c r="GM72" s="590"/>
      <c r="GN72" s="586"/>
      <c r="GO72" s="586"/>
      <c r="GP72" s="586"/>
      <c r="GQ72" s="586"/>
      <c r="GR72" s="586"/>
      <c r="GS72" s="586"/>
      <c r="GT72" s="586"/>
      <c r="GU72" s="586"/>
      <c r="GV72" s="60"/>
      <c r="GW72" s="60"/>
      <c r="GX72" s="60"/>
      <c r="GY72" s="60"/>
      <c r="GZ72" s="60"/>
      <c r="HA72" s="60"/>
      <c r="HB72" s="60"/>
      <c r="HC72" s="60"/>
      <c r="HD72" s="60"/>
      <c r="HE72" s="60"/>
      <c r="HF72" s="586"/>
      <c r="HG72" s="586"/>
      <c r="HH72" s="586"/>
      <c r="HI72" s="586"/>
      <c r="HJ72" s="586"/>
      <c r="HK72" s="586"/>
      <c r="HL72" s="586"/>
      <c r="HM72" s="586"/>
      <c r="HN72" s="586"/>
      <c r="HO72" s="586"/>
      <c r="HP72" s="586"/>
      <c r="HQ72" s="586"/>
      <c r="HR72" s="586"/>
      <c r="HS72" s="586"/>
      <c r="HT72" s="586"/>
      <c r="HU72" s="586"/>
      <c r="HV72" s="586"/>
      <c r="HW72" s="586"/>
      <c r="HX72" s="586"/>
      <c r="HY72" s="586"/>
      <c r="HZ72" s="586"/>
      <c r="IA72" s="586"/>
      <c r="IB72" s="586"/>
      <c r="IC72" s="586"/>
      <c r="ID72" s="586"/>
      <c r="IE72" s="586"/>
      <c r="IF72" s="586"/>
      <c r="IG72" s="586"/>
      <c r="IH72" s="586"/>
      <c r="II72" s="586"/>
      <c r="IJ72" s="586"/>
      <c r="IK72" s="586"/>
      <c r="IL72" s="937"/>
      <c r="IM72" s="919"/>
      <c r="IN72" s="586"/>
      <c r="IO72" s="586"/>
      <c r="IP72" s="586"/>
      <c r="IQ72" s="587"/>
      <c r="IR72" s="587"/>
      <c r="IS72" s="587"/>
      <c r="IT72" s="587"/>
      <c r="IU72" s="587"/>
      <c r="IV72" s="587"/>
      <c r="IW72" s="587"/>
      <c r="IX72" s="587"/>
      <c r="IY72" s="587"/>
      <c r="IZ72" s="587"/>
      <c r="JA72" s="587"/>
      <c r="JB72" s="587"/>
      <c r="JC72" s="587"/>
      <c r="JD72" s="587"/>
      <c r="JE72" s="587"/>
      <c r="JF72" s="587"/>
      <c r="JG72" s="587"/>
      <c r="JH72" s="588"/>
      <c r="JI72" s="589"/>
      <c r="JJ72" s="587"/>
      <c r="JK72" s="587"/>
      <c r="JL72" s="587"/>
      <c r="JM72" s="589"/>
      <c r="JN72" s="590"/>
      <c r="JO72" s="589"/>
      <c r="JP72" s="591"/>
      <c r="JQ72" s="591"/>
      <c r="JR72" s="591"/>
      <c r="JS72" s="591"/>
      <c r="JT72" s="591"/>
      <c r="JU72" s="591"/>
      <c r="JV72" s="591"/>
      <c r="JW72" s="591"/>
      <c r="JX72" s="591"/>
      <c r="JY72" s="591"/>
      <c r="JZ72" s="591"/>
      <c r="KA72" s="591"/>
      <c r="KB72" s="591"/>
      <c r="KC72" s="591"/>
      <c r="KD72" s="592"/>
      <c r="KE72" s="592"/>
      <c r="KF72" s="1071"/>
      <c r="KI72" s="593"/>
    </row>
    <row r="73" spans="1:295" s="49" customFormat="1" ht="15.75" hidden="1" customHeight="1" x14ac:dyDescent="0.25">
      <c r="A73" s="560"/>
      <c r="B73" s="607"/>
      <c r="C73" s="804"/>
      <c r="D73" s="802"/>
      <c r="E73" s="2267"/>
      <c r="F73" s="561"/>
      <c r="G73" s="562"/>
      <c r="H73" s="563"/>
      <c r="I73" s="562"/>
      <c r="J73" s="562"/>
      <c r="K73" s="562"/>
      <c r="L73" s="564"/>
      <c r="M73" s="564"/>
      <c r="N73" s="565"/>
      <c r="O73" s="564"/>
      <c r="P73" s="564"/>
      <c r="Q73" s="566"/>
      <c r="R73" s="566"/>
      <c r="S73" s="564"/>
      <c r="T73" s="564"/>
      <c r="U73" s="564"/>
      <c r="V73" s="567"/>
      <c r="W73" s="2267"/>
      <c r="X73" s="568"/>
      <c r="Y73" s="568"/>
      <c r="Z73" s="568"/>
      <c r="AA73" s="568"/>
      <c r="AB73" s="568"/>
      <c r="AC73" s="569"/>
      <c r="AD73" s="570"/>
      <c r="AE73" s="598"/>
      <c r="AF73" s="660"/>
      <c r="AG73" s="655"/>
      <c r="AH73" s="658"/>
      <c r="AI73" s="658"/>
      <c r="AJ73" s="658"/>
      <c r="AK73" s="658"/>
      <c r="AL73" s="658"/>
      <c r="AM73" s="659"/>
      <c r="AN73" s="594"/>
      <c r="AO73" s="574"/>
      <c r="AP73" s="572"/>
      <c r="AQ73" s="602"/>
      <c r="AR73" s="576"/>
      <c r="AS73" s="577"/>
      <c r="AT73" s="2285"/>
      <c r="AU73" s="584"/>
      <c r="AV73" s="578"/>
      <c r="AW73" s="579"/>
      <c r="AX73" s="580"/>
      <c r="AY73" s="579"/>
      <c r="AZ73" s="579"/>
      <c r="BA73" s="579"/>
      <c r="BB73" s="579"/>
      <c r="BC73" s="580"/>
      <c r="BD73" s="579"/>
      <c r="BE73" s="585"/>
      <c r="BF73" s="585"/>
      <c r="BG73" s="579"/>
      <c r="BH73" s="581"/>
      <c r="BI73" s="1291"/>
      <c r="BJ73" s="566"/>
      <c r="BK73" s="566"/>
      <c r="BL73" s="583"/>
      <c r="BM73" s="582"/>
      <c r="BN73" s="566"/>
      <c r="BO73" s="566"/>
      <c r="BP73" s="583"/>
      <c r="BQ73" s="578"/>
      <c r="BR73" s="579"/>
      <c r="BS73" s="567"/>
      <c r="BT73" s="581"/>
      <c r="BU73" s="709"/>
      <c r="BV73" s="567"/>
      <c r="BW73" s="579"/>
      <c r="BX73" s="579"/>
      <c r="BY73" s="579"/>
      <c r="BZ73" s="581"/>
      <c r="CA73" s="584"/>
      <c r="CB73" s="581"/>
      <c r="CC73" s="2267"/>
      <c r="CD73" s="578"/>
      <c r="CE73" s="579"/>
      <c r="CF73" s="579"/>
      <c r="CG73" s="585"/>
      <c r="CH73" s="579"/>
      <c r="CI73" s="579"/>
      <c r="CJ73" s="579"/>
      <c r="CK73" s="579"/>
      <c r="CL73" s="579"/>
      <c r="CM73" s="579"/>
      <c r="CN73" s="579"/>
      <c r="CO73" s="579"/>
      <c r="CP73" s="579"/>
      <c r="CQ73" s="579"/>
      <c r="CR73" s="579"/>
      <c r="CS73" s="579"/>
      <c r="CT73" s="579"/>
      <c r="CU73" s="579"/>
      <c r="CV73" s="579"/>
      <c r="CW73" s="579"/>
      <c r="CX73" s="579"/>
      <c r="CY73" s="579"/>
      <c r="CZ73" s="579"/>
      <c r="DA73" s="579"/>
      <c r="DB73" s="579"/>
      <c r="DC73" s="579"/>
      <c r="DD73" s="579"/>
      <c r="DE73" s="579"/>
      <c r="DF73" s="579"/>
      <c r="DG73" s="586"/>
      <c r="DH73" s="586"/>
      <c r="DI73" s="579"/>
      <c r="DJ73" s="586"/>
      <c r="DK73" s="596"/>
      <c r="DL73" s="586"/>
      <c r="DM73" s="586"/>
      <c r="DN73" s="586"/>
      <c r="DO73" s="586"/>
      <c r="DP73" s="586"/>
      <c r="DQ73" s="768"/>
      <c r="DR73" s="926"/>
      <c r="DS73" s="586"/>
      <c r="DT73" s="580"/>
      <c r="DU73" s="578"/>
      <c r="DV73" s="581"/>
      <c r="DW73" s="933"/>
      <c r="DX73" s="925"/>
      <c r="DY73" s="925"/>
      <c r="DZ73" s="925"/>
      <c r="EA73" s="925"/>
      <c r="EB73" s="925"/>
      <c r="EC73" s="925"/>
      <c r="ED73" s="586"/>
      <c r="EE73" s="768"/>
      <c r="EF73" s="584"/>
      <c r="EG73" s="581"/>
      <c r="EH73" s="919"/>
      <c r="EI73" s="925"/>
      <c r="EJ73" s="925"/>
      <c r="EK73" s="925"/>
      <c r="EL73" s="925"/>
      <c r="EM73" s="925"/>
      <c r="EN73" s="925"/>
      <c r="EO73" s="925"/>
      <c r="EP73" s="925"/>
      <c r="EQ73" s="925"/>
      <c r="ER73" s="925"/>
      <c r="ES73" s="925"/>
      <c r="ET73" s="925"/>
      <c r="EU73" s="925"/>
      <c r="EV73" s="925"/>
      <c r="EW73" s="925"/>
      <c r="EX73" s="586"/>
      <c r="EY73" s="925"/>
      <c r="EZ73" s="925"/>
      <c r="FA73" s="596"/>
      <c r="FB73" s="925"/>
      <c r="FC73" s="579"/>
      <c r="FD73" s="579"/>
      <c r="FE73" s="586"/>
      <c r="FF73" s="586"/>
      <c r="FG73" s="586"/>
      <c r="FH73" s="586"/>
      <c r="FI73" s="586"/>
      <c r="FJ73" s="586"/>
      <c r="FK73" s="586"/>
      <c r="FL73" s="586"/>
      <c r="FM73" s="586"/>
      <c r="FN73" s="586"/>
      <c r="FO73" s="586"/>
      <c r="FP73" s="586"/>
      <c r="FQ73" s="586"/>
      <c r="FR73" s="586"/>
      <c r="FS73" s="586"/>
      <c r="FT73" s="586"/>
      <c r="FU73" s="586"/>
      <c r="FV73" s="586"/>
      <c r="FW73" s="586"/>
      <c r="FX73" s="586"/>
      <c r="FY73" s="586"/>
      <c r="FZ73" s="586"/>
      <c r="GA73" s="586"/>
      <c r="GB73" s="586"/>
      <c r="GC73" s="586"/>
      <c r="GD73" s="586"/>
      <c r="GE73" s="586"/>
      <c r="GF73" s="586"/>
      <c r="GG73" s="586"/>
      <c r="GH73" s="937"/>
      <c r="GI73" s="937"/>
      <c r="GJ73" s="807"/>
      <c r="GK73" s="937"/>
      <c r="GL73" s="937"/>
      <c r="GM73" s="590"/>
      <c r="GN73" s="586"/>
      <c r="GO73" s="586"/>
      <c r="GP73" s="586"/>
      <c r="GQ73" s="586"/>
      <c r="GR73" s="586"/>
      <c r="GS73" s="586"/>
      <c r="GT73" s="586"/>
      <c r="GU73" s="586"/>
      <c r="GV73" s="60"/>
      <c r="GW73" s="60"/>
      <c r="GX73" s="60"/>
      <c r="GY73" s="60"/>
      <c r="GZ73" s="60"/>
      <c r="HA73" s="60"/>
      <c r="HB73" s="60"/>
      <c r="HC73" s="60"/>
      <c r="HD73" s="60"/>
      <c r="HE73" s="60"/>
      <c r="HF73" s="586"/>
      <c r="HG73" s="586"/>
      <c r="HH73" s="586"/>
      <c r="HI73" s="586"/>
      <c r="HJ73" s="586"/>
      <c r="HK73" s="586"/>
      <c r="HL73" s="586"/>
      <c r="HM73" s="586"/>
      <c r="HN73" s="586"/>
      <c r="HO73" s="586"/>
      <c r="HP73" s="586"/>
      <c r="HQ73" s="586"/>
      <c r="HR73" s="586"/>
      <c r="HS73" s="586"/>
      <c r="HT73" s="586"/>
      <c r="HU73" s="586"/>
      <c r="HV73" s="586"/>
      <c r="HW73" s="586"/>
      <c r="HX73" s="586"/>
      <c r="HY73" s="586"/>
      <c r="HZ73" s="586"/>
      <c r="IA73" s="586"/>
      <c r="IB73" s="586"/>
      <c r="IC73" s="586"/>
      <c r="ID73" s="586"/>
      <c r="IE73" s="586"/>
      <c r="IF73" s="586"/>
      <c r="IG73" s="586"/>
      <c r="IH73" s="586"/>
      <c r="II73" s="586"/>
      <c r="IJ73" s="586"/>
      <c r="IK73" s="586"/>
      <c r="IL73" s="937"/>
      <c r="IM73" s="919"/>
      <c r="IN73" s="586"/>
      <c r="IO73" s="586"/>
      <c r="IP73" s="586"/>
      <c r="IQ73" s="587"/>
      <c r="IR73" s="587"/>
      <c r="IS73" s="587"/>
      <c r="IT73" s="587"/>
      <c r="IU73" s="587"/>
      <c r="IV73" s="587"/>
      <c r="IW73" s="587"/>
      <c r="IX73" s="587"/>
      <c r="IY73" s="587"/>
      <c r="IZ73" s="587"/>
      <c r="JA73" s="587"/>
      <c r="JB73" s="587"/>
      <c r="JC73" s="587"/>
      <c r="JD73" s="587"/>
      <c r="JE73" s="587"/>
      <c r="JF73" s="587"/>
      <c r="JG73" s="587"/>
      <c r="JH73" s="588"/>
      <c r="JI73" s="589"/>
      <c r="JJ73" s="587"/>
      <c r="JK73" s="587"/>
      <c r="JL73" s="587"/>
      <c r="JM73" s="589"/>
      <c r="JN73" s="590"/>
      <c r="JO73" s="589"/>
      <c r="JP73" s="591"/>
      <c r="JQ73" s="591"/>
      <c r="JR73" s="591"/>
      <c r="JS73" s="591"/>
      <c r="JT73" s="591"/>
      <c r="JU73" s="591"/>
      <c r="JV73" s="591"/>
      <c r="JW73" s="591"/>
      <c r="JX73" s="591"/>
      <c r="JY73" s="591"/>
      <c r="JZ73" s="591"/>
      <c r="KA73" s="591"/>
      <c r="KB73" s="591"/>
      <c r="KC73" s="591"/>
      <c r="KD73" s="592"/>
      <c r="KE73" s="592"/>
      <c r="KF73" s="1071"/>
      <c r="KI73" s="593"/>
    </row>
    <row r="74" spans="1:295" s="7" customFormat="1" ht="15.75" customHeight="1" x14ac:dyDescent="0.25">
      <c r="A74" s="357"/>
      <c r="B74" s="760"/>
      <c r="C74" s="64"/>
      <c r="D74" s="361"/>
      <c r="E74" s="2267"/>
      <c r="F74" s="346"/>
      <c r="G74" s="147"/>
      <c r="H74" s="148"/>
      <c r="I74" s="147"/>
      <c r="J74" s="147"/>
      <c r="K74" s="147"/>
      <c r="L74" s="53"/>
      <c r="M74" s="53"/>
      <c r="N74" s="149"/>
      <c r="O74" s="53"/>
      <c r="P74" s="53"/>
      <c r="Q74" s="55"/>
      <c r="R74" s="55"/>
      <c r="S74" s="53"/>
      <c r="T74" s="53"/>
      <c r="U74" s="53"/>
      <c r="V74" s="57"/>
      <c r="W74" s="2267"/>
      <c r="X74" s="245"/>
      <c r="Y74" s="245"/>
      <c r="Z74" s="245"/>
      <c r="AA74" s="245"/>
      <c r="AB74" s="245"/>
      <c r="AC74" s="457"/>
      <c r="AD74" s="342"/>
      <c r="AE74" s="428"/>
      <c r="AF74" s="761"/>
      <c r="AG74" s="651"/>
      <c r="AH74" s="656"/>
      <c r="AI74" s="656"/>
      <c r="AJ74" s="656"/>
      <c r="AK74" s="656"/>
      <c r="AL74" s="656"/>
      <c r="AM74" s="657"/>
      <c r="AN74" s="352"/>
      <c r="AO74" s="215"/>
      <c r="AP74" s="348"/>
      <c r="AQ74" s="441"/>
      <c r="AR74" s="126"/>
      <c r="AS74" s="228"/>
      <c r="AT74" s="2285"/>
      <c r="AU74" s="152"/>
      <c r="AV74" s="134"/>
      <c r="AW74" s="56"/>
      <c r="AX74" s="140"/>
      <c r="AY74" s="56"/>
      <c r="AZ74" s="56"/>
      <c r="BA74" s="56"/>
      <c r="BB74" s="56"/>
      <c r="BC74" s="140"/>
      <c r="BD74" s="56"/>
      <c r="BE74" s="224"/>
      <c r="BF74" s="224"/>
      <c r="BG74" s="56"/>
      <c r="BH74" s="135"/>
      <c r="BI74" s="684"/>
      <c r="BJ74" s="55"/>
      <c r="BK74" s="55"/>
      <c r="BL74" s="118"/>
      <c r="BM74" s="144"/>
      <c r="BN74" s="55"/>
      <c r="BO74" s="55"/>
      <c r="BP74" s="118"/>
      <c r="BQ74" s="134"/>
      <c r="BR74" s="56"/>
      <c r="BS74" s="57"/>
      <c r="BT74" s="135"/>
      <c r="BU74" s="708"/>
      <c r="BV74" s="57"/>
      <c r="BW74" s="56"/>
      <c r="BX74" s="56"/>
      <c r="BY74" s="56"/>
      <c r="BZ74" s="135"/>
      <c r="CA74" s="152"/>
      <c r="CB74" s="135"/>
      <c r="CC74" s="2267"/>
      <c r="CD74" s="134"/>
      <c r="CE74" s="56"/>
      <c r="CF74" s="56"/>
      <c r="CG74" s="224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60"/>
      <c r="DH74" s="60"/>
      <c r="DI74" s="56"/>
      <c r="DJ74" s="60"/>
      <c r="DK74" s="474"/>
      <c r="DL74" s="60"/>
      <c r="DM74" s="60"/>
      <c r="DN74" s="60"/>
      <c r="DO74" s="60"/>
      <c r="DP74" s="60"/>
      <c r="DQ74" s="766"/>
      <c r="DR74" s="924"/>
      <c r="DS74" s="60"/>
      <c r="DT74" s="140"/>
      <c r="DU74" s="134"/>
      <c r="DV74" s="135"/>
      <c r="DW74" s="932"/>
      <c r="DX74" s="690"/>
      <c r="DY74" s="690"/>
      <c r="DZ74" s="690"/>
      <c r="EA74" s="690"/>
      <c r="EB74" s="690"/>
      <c r="EC74" s="690"/>
      <c r="ED74" s="60"/>
      <c r="EE74" s="766"/>
      <c r="EF74" s="152"/>
      <c r="EG74" s="135"/>
      <c r="EH74" s="918"/>
      <c r="EI74" s="690"/>
      <c r="EJ74" s="690"/>
      <c r="EK74" s="690"/>
      <c r="EL74" s="690"/>
      <c r="EM74" s="690"/>
      <c r="EN74" s="690"/>
      <c r="EO74" s="690"/>
      <c r="EP74" s="690"/>
      <c r="EQ74" s="690"/>
      <c r="ER74" s="690"/>
      <c r="ES74" s="690"/>
      <c r="ET74" s="690"/>
      <c r="EU74" s="690"/>
      <c r="EV74" s="690"/>
      <c r="EW74" s="690"/>
      <c r="EX74" s="60"/>
      <c r="EY74" s="690"/>
      <c r="EZ74" s="690"/>
      <c r="FA74" s="474"/>
      <c r="FB74" s="690"/>
      <c r="FC74" s="56"/>
      <c r="FD74" s="56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807"/>
      <c r="GI74" s="807"/>
      <c r="GJ74" s="807"/>
      <c r="GK74" s="807"/>
      <c r="GL74" s="807"/>
      <c r="GM74" s="169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0"/>
      <c r="HC74" s="60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0"/>
      <c r="IG74" s="60"/>
      <c r="IH74" s="60"/>
      <c r="II74" s="60"/>
      <c r="IJ74" s="60"/>
      <c r="IK74" s="60"/>
      <c r="IL74" s="807"/>
      <c r="IM74" s="918"/>
      <c r="IN74" s="60"/>
      <c r="IO74" s="60"/>
      <c r="IP74" s="60"/>
      <c r="IQ74" s="58"/>
      <c r="IR74" s="58"/>
      <c r="IS74" s="58"/>
      <c r="IT74" s="58"/>
      <c r="IU74" s="58"/>
      <c r="IV74" s="58"/>
      <c r="IW74" s="58"/>
      <c r="IX74" s="58"/>
      <c r="IY74" s="58"/>
      <c r="IZ74" s="58"/>
      <c r="JA74" s="58"/>
      <c r="JB74" s="58"/>
      <c r="JC74" s="58"/>
      <c r="JD74" s="58"/>
      <c r="JE74" s="58"/>
      <c r="JF74" s="58"/>
      <c r="JG74" s="58"/>
      <c r="JH74" s="59"/>
      <c r="JI74" s="61"/>
      <c r="JJ74" s="58"/>
      <c r="JK74" s="58"/>
      <c r="JL74" s="58"/>
      <c r="JM74" s="61"/>
      <c r="JN74" s="169"/>
      <c r="JO74" s="61"/>
      <c r="JP74" s="62"/>
      <c r="JQ74" s="62"/>
      <c r="JR74" s="62"/>
      <c r="JS74" s="62"/>
      <c r="JT74" s="62"/>
      <c r="JU74" s="62"/>
      <c r="JV74" s="62"/>
      <c r="JW74" s="62"/>
      <c r="JX74" s="62"/>
      <c r="JY74" s="62"/>
      <c r="JZ74" s="62"/>
      <c r="KA74" s="62"/>
      <c r="KB74" s="62"/>
      <c r="KC74" s="62"/>
      <c r="KD74" s="18"/>
      <c r="KE74" s="18"/>
      <c r="KF74" s="1070"/>
      <c r="KI74" s="221"/>
    </row>
    <row r="75" spans="1:295" s="7" customFormat="1" ht="16.5" customHeight="1" x14ac:dyDescent="0.25">
      <c r="A75" s="671"/>
      <c r="B75" s="410" t="s">
        <v>174</v>
      </c>
      <c r="C75" s="178">
        <f>Содержание!I31*1000</f>
        <v>263211.33880106924</v>
      </c>
      <c r="D75" s="360">
        <f>C75/1.2</f>
        <v>219342.78233422438</v>
      </c>
      <c r="E75" s="2267"/>
      <c r="F75" s="346"/>
      <c r="G75" s="147"/>
      <c r="H75" s="148"/>
      <c r="I75" s="147"/>
      <c r="J75" s="147"/>
      <c r="K75" s="147"/>
      <c r="L75" s="53"/>
      <c r="M75" s="53"/>
      <c r="N75" s="149"/>
      <c r="O75" s="53"/>
      <c r="P75" s="53"/>
      <c r="Q75" s="55"/>
      <c r="R75" s="55"/>
      <c r="S75" s="53"/>
      <c r="T75" s="53"/>
      <c r="U75" s="53"/>
      <c r="V75" s="57"/>
      <c r="W75" s="2267"/>
      <c r="X75" s="245"/>
      <c r="Y75" s="245">
        <f>Содержание!G8+Содержание!G10</f>
        <v>373.72317262830484</v>
      </c>
      <c r="Z75" s="245"/>
      <c r="AA75" s="245"/>
      <c r="AB75" s="245"/>
      <c r="AC75" s="457"/>
      <c r="AD75" s="342"/>
      <c r="AE75" s="427">
        <f>6.02/100*Y75+4.03/100*AB75+6.89/100*AD75</f>
        <v>22.49813499222395</v>
      </c>
      <c r="AF75" s="650"/>
      <c r="AG75" s="651"/>
      <c r="AH75" s="644">
        <f>19.19/$AH$95/100*AB75</f>
        <v>0</v>
      </c>
      <c r="AI75" s="644"/>
      <c r="AJ75" s="644">
        <f>32.89/$AJ$95/100*Y75</f>
        <v>87.175568423723035</v>
      </c>
      <c r="AK75" s="644">
        <f>23.99/$AK$95/100*AB75</f>
        <v>0</v>
      </c>
      <c r="AL75" s="644"/>
      <c r="AM75" s="645">
        <f>61.09/$AM$95/100*Y75+52.78/$AM$95/100*AB75+93.11/100/$AM$95*AD75</f>
        <v>149.220579188648</v>
      </c>
      <c r="AN75" s="352"/>
      <c r="AO75" s="215"/>
      <c r="AP75" s="348"/>
      <c r="AQ75" s="441">
        <f>Y75*0.02/100</f>
        <v>7.4744634525660963E-2</v>
      </c>
      <c r="AR75" s="126"/>
      <c r="AS75" s="228">
        <f>Содержание!G9+Содержание!G11+Содержание!G13+Содержание!G16</f>
        <v>25.089189454111839</v>
      </c>
      <c r="AT75" s="2285"/>
      <c r="AU75" s="1288">
        <f>Содержание!G14+Содержание!G12</f>
        <v>153.33333333333331</v>
      </c>
      <c r="AV75" s="672"/>
      <c r="AW75" s="224"/>
      <c r="AX75" s="673"/>
      <c r="AY75" s="224">
        <f>Содержание!G17</f>
        <v>100</v>
      </c>
      <c r="AZ75" s="224"/>
      <c r="BA75" s="224"/>
      <c r="BB75" s="224"/>
      <c r="BC75" s="673"/>
      <c r="BD75" s="224"/>
      <c r="BE75" s="676">
        <f>Содержание!G18</f>
        <v>48.591549295774648</v>
      </c>
      <c r="BF75" s="224"/>
      <c r="BG75" s="56"/>
      <c r="BH75" s="135"/>
      <c r="BI75" s="684"/>
      <c r="BJ75" s="55"/>
      <c r="BK75" s="55"/>
      <c r="BL75" s="118"/>
      <c r="BM75" s="144"/>
      <c r="BN75" s="55"/>
      <c r="BO75" s="55"/>
      <c r="BP75" s="118"/>
      <c r="BQ75" s="134"/>
      <c r="BR75" s="56">
        <f>Содержание!G19</f>
        <v>50.000000000000007</v>
      </c>
      <c r="BS75" s="57"/>
      <c r="BT75" s="135">
        <f>Содержание!G20</f>
        <v>180.39215686274508</v>
      </c>
      <c r="BU75" s="708"/>
      <c r="BV75" s="57"/>
      <c r="BW75" s="56"/>
      <c r="BX75" s="56"/>
      <c r="BY75" s="56"/>
      <c r="BZ75" s="135"/>
      <c r="CA75" s="152">
        <f>Содержание!G21</f>
        <v>27.988799999999998</v>
      </c>
      <c r="CB75" s="135">
        <f>Содержание!G22</f>
        <v>394.39547999999996</v>
      </c>
      <c r="CC75" s="2267"/>
      <c r="CD75" s="134"/>
      <c r="CE75" s="56"/>
      <c r="CF75" s="56"/>
      <c r="CG75" s="224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60"/>
      <c r="DH75" s="60"/>
      <c r="DI75" s="56"/>
      <c r="DJ75" s="60"/>
      <c r="DK75" s="474"/>
      <c r="DL75" s="60"/>
      <c r="DM75" s="60"/>
      <c r="DN75" s="60"/>
      <c r="DO75" s="60"/>
      <c r="DP75" s="60"/>
      <c r="DQ75" s="766"/>
      <c r="DR75" s="924"/>
      <c r="DS75" s="60"/>
      <c r="DT75" s="140"/>
      <c r="DU75" s="134"/>
      <c r="DV75" s="135"/>
      <c r="DW75" s="932"/>
      <c r="DX75" s="690"/>
      <c r="DY75" s="690"/>
      <c r="DZ75" s="690"/>
      <c r="EA75" s="690"/>
      <c r="EB75" s="690"/>
      <c r="EC75" s="690"/>
      <c r="ED75" s="60"/>
      <c r="EE75" s="766"/>
      <c r="EF75" s="152"/>
      <c r="EG75" s="135"/>
      <c r="EH75" s="918"/>
      <c r="EI75" s="690"/>
      <c r="EJ75" s="690"/>
      <c r="EK75" s="690"/>
      <c r="EL75" s="690"/>
      <c r="EM75" s="690"/>
      <c r="EN75" s="690"/>
      <c r="EO75" s="690"/>
      <c r="EP75" s="690"/>
      <c r="EQ75" s="690"/>
      <c r="ER75" s="690"/>
      <c r="ES75" s="690"/>
      <c r="ET75" s="690"/>
      <c r="EU75" s="690"/>
      <c r="EV75" s="690"/>
      <c r="EW75" s="690"/>
      <c r="EX75" s="60"/>
      <c r="EY75" s="690"/>
      <c r="EZ75" s="690"/>
      <c r="FA75" s="474"/>
      <c r="FB75" s="690"/>
      <c r="FC75" s="56"/>
      <c r="FD75" s="56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807"/>
      <c r="GI75" s="807"/>
      <c r="GJ75" s="807"/>
      <c r="GK75" s="807"/>
      <c r="GL75" s="807"/>
      <c r="GM75" s="169"/>
      <c r="GN75" s="60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0"/>
      <c r="HC75" s="60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0"/>
      <c r="HR75" s="60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0"/>
      <c r="IG75" s="60"/>
      <c r="IH75" s="60"/>
      <c r="II75" s="60"/>
      <c r="IJ75" s="60"/>
      <c r="IK75" s="60"/>
      <c r="IL75" s="807"/>
      <c r="IM75" s="918"/>
      <c r="IN75" s="60"/>
      <c r="IO75" s="60"/>
      <c r="IP75" s="60"/>
      <c r="IQ75" s="58"/>
      <c r="IR75" s="58"/>
      <c r="IS75" s="58"/>
      <c r="IT75" s="58"/>
      <c r="IU75" s="58"/>
      <c r="IV75" s="58"/>
      <c r="IW75" s="58"/>
      <c r="IX75" s="58"/>
      <c r="IY75" s="58"/>
      <c r="IZ75" s="58"/>
      <c r="JA75" s="58"/>
      <c r="JB75" s="58"/>
      <c r="JC75" s="58"/>
      <c r="JD75" s="58"/>
      <c r="JE75" s="58"/>
      <c r="JF75" s="58"/>
      <c r="JG75" s="58"/>
      <c r="JH75" s="59"/>
      <c r="JI75" s="61"/>
      <c r="JJ75" s="58"/>
      <c r="JK75" s="58"/>
      <c r="JL75" s="58"/>
      <c r="JM75" s="61"/>
      <c r="JN75" s="169"/>
      <c r="JO75" s="61"/>
      <c r="JP75" s="62"/>
      <c r="JQ75" s="62"/>
      <c r="JR75" s="62"/>
      <c r="JS75" s="62"/>
      <c r="JT75" s="62"/>
      <c r="JU75" s="62"/>
      <c r="JV75" s="62"/>
      <c r="JW75" s="62"/>
      <c r="JX75" s="62"/>
      <c r="JY75" s="62"/>
      <c r="JZ75" s="62"/>
      <c r="KA75" s="62"/>
      <c r="KB75" s="62"/>
      <c r="KC75" s="62"/>
      <c r="KD75" s="18"/>
      <c r="KE75" s="18"/>
      <c r="KF75" s="1070"/>
      <c r="KI75" s="221"/>
    </row>
    <row r="76" spans="1:295" s="7" customFormat="1" ht="15.75" hidden="1" customHeight="1" x14ac:dyDescent="0.25">
      <c r="A76" s="357"/>
      <c r="B76" s="414" t="s">
        <v>573</v>
      </c>
      <c r="C76" s="1214"/>
      <c r="D76" s="1215">
        <f>C76/1.2</f>
        <v>0</v>
      </c>
      <c r="E76" s="2267"/>
      <c r="F76" s="346"/>
      <c r="G76" s="147"/>
      <c r="H76" s="148"/>
      <c r="I76" s="147"/>
      <c r="J76" s="147"/>
      <c r="K76" s="147"/>
      <c r="L76" s="53"/>
      <c r="M76" s="53"/>
      <c r="N76" s="149"/>
      <c r="O76" s="53"/>
      <c r="P76" s="53"/>
      <c r="Q76" s="55"/>
      <c r="R76" s="55"/>
      <c r="S76" s="53"/>
      <c r="T76" s="53"/>
      <c r="U76" s="53"/>
      <c r="V76" s="57"/>
      <c r="W76" s="2267"/>
      <c r="X76" s="245"/>
      <c r="Y76" s="245"/>
      <c r="Z76" s="245"/>
      <c r="AA76" s="245"/>
      <c r="AB76" s="245"/>
      <c r="AC76" s="457"/>
      <c r="AD76" s="342"/>
      <c r="AE76" s="127"/>
      <c r="AF76" s="661"/>
      <c r="AG76" s="662"/>
      <c r="AH76" s="457"/>
      <c r="AI76" s="457"/>
      <c r="AJ76" s="457"/>
      <c r="AK76" s="457"/>
      <c r="AL76" s="457"/>
      <c r="AM76" s="663"/>
      <c r="AN76" s="227"/>
      <c r="AO76" s="215"/>
      <c r="AP76" s="63"/>
      <c r="AQ76" s="442"/>
      <c r="AR76" s="126"/>
      <c r="AS76" s="228"/>
      <c r="AT76" s="2285"/>
      <c r="AU76" s="152"/>
      <c r="AV76" s="134"/>
      <c r="AW76" s="56"/>
      <c r="AX76" s="140"/>
      <c r="AY76" s="56"/>
      <c r="AZ76" s="56"/>
      <c r="BA76" s="56"/>
      <c r="BB76" s="56"/>
      <c r="BC76" s="140"/>
      <c r="BD76" s="56"/>
      <c r="BE76" s="224"/>
      <c r="BF76" s="224"/>
      <c r="BG76" s="56"/>
      <c r="BH76" s="135"/>
      <c r="BI76" s="684"/>
      <c r="BJ76" s="55"/>
      <c r="BK76" s="55"/>
      <c r="BL76" s="118"/>
      <c r="BM76" s="144"/>
      <c r="BN76" s="55"/>
      <c r="BO76" s="55"/>
      <c r="BP76" s="118"/>
      <c r="BQ76" s="134"/>
      <c r="BR76" s="56"/>
      <c r="BS76" s="57"/>
      <c r="BT76" s="135"/>
      <c r="BU76" s="708"/>
      <c r="BV76" s="57"/>
      <c r="BW76" s="56"/>
      <c r="BX76" s="56"/>
      <c r="BY76" s="56"/>
      <c r="BZ76" s="135"/>
      <c r="CA76" s="152"/>
      <c r="CB76" s="135"/>
      <c r="CC76" s="2267"/>
      <c r="CD76" s="134"/>
      <c r="CE76" s="56"/>
      <c r="CF76" s="56"/>
      <c r="CG76" s="224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60"/>
      <c r="DH76" s="60"/>
      <c r="DI76" s="56"/>
      <c r="DJ76" s="60"/>
      <c r="DK76" s="474"/>
      <c r="DL76" s="60"/>
      <c r="DM76" s="60"/>
      <c r="DN76" s="60"/>
      <c r="DO76" s="60"/>
      <c r="DP76" s="60"/>
      <c r="DQ76" s="766"/>
      <c r="DR76" s="924"/>
      <c r="DS76" s="60"/>
      <c r="DT76" s="140"/>
      <c r="DU76" s="134"/>
      <c r="DV76" s="135"/>
      <c r="DW76" s="932"/>
      <c r="DX76" s="690"/>
      <c r="DY76" s="690"/>
      <c r="DZ76" s="690"/>
      <c r="EA76" s="690"/>
      <c r="EB76" s="690"/>
      <c r="EC76" s="690"/>
      <c r="ED76" s="60"/>
      <c r="EE76" s="766"/>
      <c r="EF76" s="152"/>
      <c r="EG76" s="135"/>
      <c r="EH76" s="918"/>
      <c r="EI76" s="690"/>
      <c r="EJ76" s="690"/>
      <c r="EK76" s="690"/>
      <c r="EL76" s="690"/>
      <c r="EM76" s="690"/>
      <c r="EN76" s="690"/>
      <c r="EO76" s="690"/>
      <c r="EP76" s="690"/>
      <c r="EQ76" s="690"/>
      <c r="ER76" s="690"/>
      <c r="ES76" s="690"/>
      <c r="ET76" s="690"/>
      <c r="EU76" s="690"/>
      <c r="EV76" s="690"/>
      <c r="EW76" s="690"/>
      <c r="EX76" s="60"/>
      <c r="EY76" s="690"/>
      <c r="EZ76" s="690"/>
      <c r="FA76" s="474"/>
      <c r="FB76" s="690"/>
      <c r="FC76" s="56"/>
      <c r="FD76" s="56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807"/>
      <c r="GI76" s="807"/>
      <c r="GJ76" s="807"/>
      <c r="GK76" s="807"/>
      <c r="GL76" s="807"/>
      <c r="GM76" s="169"/>
      <c r="GN76" s="60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0"/>
      <c r="HC76" s="60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0"/>
      <c r="HR76" s="60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0"/>
      <c r="IG76" s="60"/>
      <c r="IH76" s="60"/>
      <c r="II76" s="60"/>
      <c r="IJ76" s="60"/>
      <c r="IK76" s="60"/>
      <c r="IL76" s="807"/>
      <c r="IM76" s="918"/>
      <c r="IN76" s="60"/>
      <c r="IO76" s="60"/>
      <c r="IP76" s="60"/>
      <c r="IQ76" s="58"/>
      <c r="IR76" s="58"/>
      <c r="IS76" s="58"/>
      <c r="IT76" s="58"/>
      <c r="IU76" s="58"/>
      <c r="IV76" s="58"/>
      <c r="IW76" s="58"/>
      <c r="IX76" s="58"/>
      <c r="IY76" s="58"/>
      <c r="IZ76" s="58"/>
      <c r="JA76" s="58"/>
      <c r="JB76" s="58"/>
      <c r="JC76" s="58"/>
      <c r="JD76" s="58"/>
      <c r="JE76" s="58"/>
      <c r="JF76" s="58"/>
      <c r="JG76" s="58"/>
      <c r="JH76" s="59"/>
      <c r="JI76" s="61"/>
      <c r="JJ76" s="58"/>
      <c r="JK76" s="58"/>
      <c r="JL76" s="58"/>
      <c r="JM76" s="61"/>
      <c r="JN76" s="169"/>
      <c r="JO76" s="61"/>
      <c r="JP76" s="62"/>
      <c r="JQ76" s="62"/>
      <c r="JR76" s="62"/>
      <c r="JS76" s="62"/>
      <c r="JT76" s="62"/>
      <c r="JU76" s="62"/>
      <c r="JV76" s="62"/>
      <c r="JW76" s="62"/>
      <c r="JX76" s="62"/>
      <c r="JY76" s="62"/>
      <c r="JZ76" s="62"/>
      <c r="KA76" s="62"/>
      <c r="KB76" s="62"/>
      <c r="KC76" s="62"/>
      <c r="KD76" s="18"/>
      <c r="KE76" s="18"/>
      <c r="KF76" s="1070"/>
      <c r="KI76" s="221"/>
    </row>
    <row r="77" spans="1:295" s="7" customFormat="1" ht="15.75" hidden="1" customHeight="1" x14ac:dyDescent="0.25">
      <c r="A77" s="357"/>
      <c r="B77" s="882" t="s">
        <v>574</v>
      </c>
      <c r="C77" s="1216"/>
      <c r="D77" s="1215">
        <f t="shared" ref="D77:D78" si="6">C77/1.2</f>
        <v>0</v>
      </c>
      <c r="E77" s="2267"/>
      <c r="F77" s="346"/>
      <c r="G77" s="147"/>
      <c r="H77" s="148"/>
      <c r="I77" s="147"/>
      <c r="J77" s="147"/>
      <c r="K77" s="147"/>
      <c r="L77" s="53"/>
      <c r="M77" s="53"/>
      <c r="N77" s="149"/>
      <c r="O77" s="53"/>
      <c r="P77" s="53"/>
      <c r="Q77" s="55"/>
      <c r="R77" s="55"/>
      <c r="S77" s="53"/>
      <c r="T77" s="53"/>
      <c r="U77" s="53"/>
      <c r="V77" s="57"/>
      <c r="W77" s="2267"/>
      <c r="X77" s="245"/>
      <c r="Y77" s="245"/>
      <c r="Z77" s="245"/>
      <c r="AA77" s="245"/>
      <c r="AB77" s="245"/>
      <c r="AC77" s="457"/>
      <c r="AD77" s="342"/>
      <c r="AE77" s="127"/>
      <c r="AF77" s="661"/>
      <c r="AG77" s="662"/>
      <c r="AH77" s="457"/>
      <c r="AI77" s="457"/>
      <c r="AJ77" s="457"/>
      <c r="AK77" s="457"/>
      <c r="AL77" s="457"/>
      <c r="AM77" s="663"/>
      <c r="AN77" s="227"/>
      <c r="AO77" s="215"/>
      <c r="AP77" s="63"/>
      <c r="AQ77" s="441"/>
      <c r="AR77" s="126"/>
      <c r="AS77" s="228"/>
      <c r="AT77" s="2285"/>
      <c r="AU77" s="152"/>
      <c r="AV77" s="134"/>
      <c r="AW77" s="56"/>
      <c r="AX77" s="140"/>
      <c r="AY77" s="56"/>
      <c r="AZ77" s="56"/>
      <c r="BA77" s="56"/>
      <c r="BB77" s="56"/>
      <c r="BC77" s="140"/>
      <c r="BD77" s="56"/>
      <c r="BE77" s="224"/>
      <c r="BF77" s="224"/>
      <c r="BG77" s="56"/>
      <c r="BH77" s="135"/>
      <c r="BI77" s="684"/>
      <c r="BJ77" s="55"/>
      <c r="BK77" s="55"/>
      <c r="BL77" s="118"/>
      <c r="BM77" s="144"/>
      <c r="BN77" s="55"/>
      <c r="BO77" s="55"/>
      <c r="BP77" s="118"/>
      <c r="BQ77" s="134"/>
      <c r="BR77" s="56"/>
      <c r="BS77" s="57"/>
      <c r="BT77" s="135"/>
      <c r="BU77" s="708"/>
      <c r="BV77" s="57"/>
      <c r="BW77" s="56"/>
      <c r="BX77" s="56"/>
      <c r="BY77" s="56"/>
      <c r="BZ77" s="135"/>
      <c r="CA77" s="152"/>
      <c r="CB77" s="135"/>
      <c r="CC77" s="2267"/>
      <c r="CD77" s="134"/>
      <c r="CE77" s="56"/>
      <c r="CF77" s="56"/>
      <c r="CG77" s="224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60"/>
      <c r="DH77" s="60"/>
      <c r="DI77" s="56"/>
      <c r="DJ77" s="60"/>
      <c r="DK77" s="474"/>
      <c r="DL77" s="60"/>
      <c r="DM77" s="60"/>
      <c r="DN77" s="60"/>
      <c r="DO77" s="60"/>
      <c r="DP77" s="60"/>
      <c r="DQ77" s="766"/>
      <c r="DR77" s="924"/>
      <c r="DS77" s="60"/>
      <c r="DT77" s="140"/>
      <c r="DU77" s="134"/>
      <c r="DV77" s="135"/>
      <c r="DW77" s="932"/>
      <c r="DX77" s="690"/>
      <c r="DY77" s="690"/>
      <c r="DZ77" s="690"/>
      <c r="EA77" s="690"/>
      <c r="EB77" s="690"/>
      <c r="EC77" s="690"/>
      <c r="ED77" s="60"/>
      <c r="EE77" s="766"/>
      <c r="EF77" s="152"/>
      <c r="EG77" s="135"/>
      <c r="EH77" s="918"/>
      <c r="EI77" s="690"/>
      <c r="EJ77" s="690"/>
      <c r="EK77" s="690"/>
      <c r="EL77" s="690"/>
      <c r="EM77" s="690"/>
      <c r="EN77" s="690"/>
      <c r="EO77" s="690"/>
      <c r="EP77" s="690"/>
      <c r="EQ77" s="690"/>
      <c r="ER77" s="690"/>
      <c r="ES77" s="690"/>
      <c r="ET77" s="690"/>
      <c r="EU77" s="690"/>
      <c r="EV77" s="690"/>
      <c r="EW77" s="690"/>
      <c r="EX77" s="60"/>
      <c r="EY77" s="690"/>
      <c r="EZ77" s="690"/>
      <c r="FA77" s="474"/>
      <c r="FB77" s="690"/>
      <c r="FC77" s="56"/>
      <c r="FD77" s="56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807"/>
      <c r="GI77" s="807"/>
      <c r="GJ77" s="807"/>
      <c r="GK77" s="807"/>
      <c r="GL77" s="807"/>
      <c r="GM77" s="169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0"/>
      <c r="IG77" s="60"/>
      <c r="IH77" s="60"/>
      <c r="II77" s="60"/>
      <c r="IJ77" s="60"/>
      <c r="IK77" s="60"/>
      <c r="IL77" s="807"/>
      <c r="IM77" s="918"/>
      <c r="IN77" s="60"/>
      <c r="IO77" s="60"/>
      <c r="IP77" s="60"/>
      <c r="IQ77" s="58"/>
      <c r="IR77" s="58"/>
      <c r="IS77" s="58"/>
      <c r="IT77" s="58"/>
      <c r="IU77" s="58"/>
      <c r="IV77" s="58"/>
      <c r="IW77" s="58"/>
      <c r="IX77" s="58"/>
      <c r="IY77" s="58"/>
      <c r="IZ77" s="58"/>
      <c r="JA77" s="58"/>
      <c r="JB77" s="58"/>
      <c r="JC77" s="58"/>
      <c r="JD77" s="58"/>
      <c r="JE77" s="58"/>
      <c r="JF77" s="58"/>
      <c r="JG77" s="58"/>
      <c r="JH77" s="59"/>
      <c r="JI77" s="61"/>
      <c r="JJ77" s="58"/>
      <c r="JK77" s="58"/>
      <c r="JL77" s="58"/>
      <c r="JM77" s="61"/>
      <c r="JN77" s="169"/>
      <c r="JO77" s="61"/>
      <c r="JP77" s="62"/>
      <c r="JQ77" s="62"/>
      <c r="JR77" s="62"/>
      <c r="JS77" s="62"/>
      <c r="JT77" s="62"/>
      <c r="JU77" s="62"/>
      <c r="JV77" s="62"/>
      <c r="JW77" s="62"/>
      <c r="JX77" s="62"/>
      <c r="JY77" s="62"/>
      <c r="JZ77" s="62"/>
      <c r="KA77" s="62"/>
      <c r="KB77" s="62"/>
      <c r="KC77" s="62"/>
      <c r="KD77" s="18"/>
      <c r="KE77" s="18"/>
      <c r="KF77" s="1070"/>
      <c r="KI77" s="221"/>
    </row>
    <row r="78" spans="1:295" s="7" customFormat="1" ht="15.75" hidden="1" customHeight="1" x14ac:dyDescent="0.25">
      <c r="A78" s="357"/>
      <c r="B78" s="882" t="s">
        <v>512</v>
      </c>
      <c r="C78" s="1216"/>
      <c r="D78" s="1215">
        <f t="shared" si="6"/>
        <v>0</v>
      </c>
      <c r="E78" s="2267"/>
      <c r="F78" s="346"/>
      <c r="G78" s="147"/>
      <c r="H78" s="148"/>
      <c r="I78" s="147"/>
      <c r="J78" s="147"/>
      <c r="K78" s="147"/>
      <c r="L78" s="53"/>
      <c r="M78" s="53"/>
      <c r="N78" s="149"/>
      <c r="O78" s="53"/>
      <c r="P78" s="53"/>
      <c r="Q78" s="55"/>
      <c r="R78" s="55"/>
      <c r="S78" s="53"/>
      <c r="T78" s="53"/>
      <c r="U78" s="53"/>
      <c r="V78" s="57"/>
      <c r="W78" s="2267"/>
      <c r="X78" s="245"/>
      <c r="Y78" s="245"/>
      <c r="Z78" s="245"/>
      <c r="AA78" s="245"/>
      <c r="AB78" s="245"/>
      <c r="AC78" s="457"/>
      <c r="AD78" s="342"/>
      <c r="AE78" s="127"/>
      <c r="AF78" s="661"/>
      <c r="AG78" s="662"/>
      <c r="AH78" s="457"/>
      <c r="AI78" s="457"/>
      <c r="AJ78" s="457"/>
      <c r="AK78" s="457"/>
      <c r="AL78" s="457"/>
      <c r="AM78" s="663"/>
      <c r="AN78" s="227"/>
      <c r="AO78" s="215"/>
      <c r="AP78" s="63"/>
      <c r="AQ78" s="441"/>
      <c r="AR78" s="126"/>
      <c r="AS78" s="228"/>
      <c r="AT78" s="2285"/>
      <c r="AU78" s="152"/>
      <c r="AV78" s="134"/>
      <c r="AW78" s="56"/>
      <c r="AX78" s="140"/>
      <c r="AY78" s="56"/>
      <c r="AZ78" s="56"/>
      <c r="BA78" s="56"/>
      <c r="BB78" s="56"/>
      <c r="BC78" s="140"/>
      <c r="BD78" s="56"/>
      <c r="BE78" s="224"/>
      <c r="BF78" s="224"/>
      <c r="BG78" s="56"/>
      <c r="BH78" s="135"/>
      <c r="BI78" s="684"/>
      <c r="BJ78" s="55"/>
      <c r="BK78" s="55"/>
      <c r="BL78" s="118"/>
      <c r="BM78" s="144"/>
      <c r="BN78" s="55"/>
      <c r="BO78" s="55"/>
      <c r="BP78" s="118"/>
      <c r="BQ78" s="134"/>
      <c r="BR78" s="56"/>
      <c r="BS78" s="57"/>
      <c r="BT78" s="135"/>
      <c r="BU78" s="708"/>
      <c r="BV78" s="57"/>
      <c r="BW78" s="56"/>
      <c r="BX78" s="56"/>
      <c r="BY78" s="56"/>
      <c r="BZ78" s="135"/>
      <c r="CA78" s="152"/>
      <c r="CB78" s="135"/>
      <c r="CC78" s="2267"/>
      <c r="CD78" s="134"/>
      <c r="CE78" s="56"/>
      <c r="CF78" s="56"/>
      <c r="CG78" s="224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60"/>
      <c r="DH78" s="60"/>
      <c r="DI78" s="56"/>
      <c r="DJ78" s="60"/>
      <c r="DK78" s="474"/>
      <c r="DL78" s="60"/>
      <c r="DM78" s="60"/>
      <c r="DN78" s="60"/>
      <c r="DO78" s="60"/>
      <c r="DP78" s="60"/>
      <c r="DQ78" s="766"/>
      <c r="DR78" s="924"/>
      <c r="DS78" s="60"/>
      <c r="DT78" s="140"/>
      <c r="DU78" s="134"/>
      <c r="DV78" s="135"/>
      <c r="DW78" s="932"/>
      <c r="DX78" s="690"/>
      <c r="DY78" s="690"/>
      <c r="DZ78" s="690"/>
      <c r="EA78" s="690"/>
      <c r="EB78" s="690"/>
      <c r="EC78" s="690"/>
      <c r="ED78" s="60"/>
      <c r="EE78" s="766"/>
      <c r="EF78" s="152"/>
      <c r="EG78" s="135"/>
      <c r="EH78" s="918"/>
      <c r="EI78" s="690"/>
      <c r="EJ78" s="690"/>
      <c r="EK78" s="690"/>
      <c r="EL78" s="690"/>
      <c r="EM78" s="690"/>
      <c r="EN78" s="690"/>
      <c r="EO78" s="690"/>
      <c r="EP78" s="690"/>
      <c r="EQ78" s="690"/>
      <c r="ER78" s="690"/>
      <c r="ES78" s="690"/>
      <c r="ET78" s="690"/>
      <c r="EU78" s="690"/>
      <c r="EV78" s="690"/>
      <c r="EW78" s="690"/>
      <c r="EX78" s="60"/>
      <c r="EY78" s="690"/>
      <c r="EZ78" s="690"/>
      <c r="FA78" s="474"/>
      <c r="FB78" s="690"/>
      <c r="FC78" s="56"/>
      <c r="FD78" s="56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807"/>
      <c r="GI78" s="807"/>
      <c r="GJ78" s="807"/>
      <c r="GK78" s="807"/>
      <c r="GL78" s="807"/>
      <c r="GM78" s="169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0"/>
      <c r="IG78" s="60"/>
      <c r="IH78" s="60"/>
      <c r="II78" s="60"/>
      <c r="IJ78" s="60"/>
      <c r="IK78" s="60"/>
      <c r="IL78" s="807"/>
      <c r="IM78" s="918"/>
      <c r="IN78" s="60"/>
      <c r="IO78" s="60"/>
      <c r="IP78" s="60"/>
      <c r="IQ78" s="58"/>
      <c r="IR78" s="58"/>
      <c r="IS78" s="58"/>
      <c r="IT78" s="58"/>
      <c r="IU78" s="58"/>
      <c r="IV78" s="58"/>
      <c r="IW78" s="58"/>
      <c r="IX78" s="58"/>
      <c r="IY78" s="58"/>
      <c r="IZ78" s="58"/>
      <c r="JA78" s="58"/>
      <c r="JB78" s="58"/>
      <c r="JC78" s="58"/>
      <c r="JD78" s="58"/>
      <c r="JE78" s="58"/>
      <c r="JF78" s="58"/>
      <c r="JG78" s="58"/>
      <c r="JH78" s="59"/>
      <c r="JI78" s="61"/>
      <c r="JJ78" s="58"/>
      <c r="JK78" s="58"/>
      <c r="JL78" s="58"/>
      <c r="JM78" s="61"/>
      <c r="JN78" s="169"/>
      <c r="JO78" s="61"/>
      <c r="JP78" s="62"/>
      <c r="JQ78" s="62"/>
      <c r="JR78" s="62"/>
      <c r="JS78" s="62"/>
      <c r="JT78" s="62"/>
      <c r="JU78" s="62"/>
      <c r="JV78" s="62"/>
      <c r="JW78" s="62"/>
      <c r="JX78" s="62"/>
      <c r="JY78" s="62"/>
      <c r="JZ78" s="62"/>
      <c r="KA78" s="62"/>
      <c r="KB78" s="62"/>
      <c r="KC78" s="62"/>
      <c r="KD78" s="18"/>
      <c r="KE78" s="18"/>
      <c r="KF78" s="1070"/>
      <c r="KI78" s="221"/>
    </row>
    <row r="79" spans="1:295" s="7" customFormat="1" ht="15.75" hidden="1" customHeight="1" x14ac:dyDescent="0.25">
      <c r="A79" s="357"/>
      <c r="B79" s="415" t="s">
        <v>237</v>
      </c>
      <c r="C79" s="1217"/>
      <c r="D79" s="1218">
        <f>C79</f>
        <v>0</v>
      </c>
      <c r="E79" s="2267"/>
      <c r="F79" s="346"/>
      <c r="G79" s="147"/>
      <c r="H79" s="148"/>
      <c r="I79" s="147"/>
      <c r="J79" s="147"/>
      <c r="K79" s="147"/>
      <c r="L79" s="53"/>
      <c r="M79" s="53"/>
      <c r="N79" s="149"/>
      <c r="O79" s="53"/>
      <c r="P79" s="53"/>
      <c r="Q79" s="55"/>
      <c r="R79" s="55"/>
      <c r="S79" s="53"/>
      <c r="T79" s="53"/>
      <c r="U79" s="53"/>
      <c r="V79" s="57"/>
      <c r="W79" s="2267"/>
      <c r="X79" s="245"/>
      <c r="Y79" s="245"/>
      <c r="Z79" s="245"/>
      <c r="AA79" s="245"/>
      <c r="AB79" s="245"/>
      <c r="AC79" s="457"/>
      <c r="AD79" s="342"/>
      <c r="AE79" s="427">
        <f>5.99*Y79/100</f>
        <v>0</v>
      </c>
      <c r="AF79" s="650"/>
      <c r="AG79" s="651"/>
      <c r="AH79" s="644"/>
      <c r="AI79" s="644"/>
      <c r="AJ79" s="644">
        <f>23.33*Y79/100</f>
        <v>0</v>
      </c>
      <c r="AK79" s="644"/>
      <c r="AL79" s="644"/>
      <c r="AM79" s="645">
        <f>39.93*Y79/100</f>
        <v>0</v>
      </c>
      <c r="AN79" s="352"/>
      <c r="AO79" s="215"/>
      <c r="AP79" s="348"/>
      <c r="AQ79" s="441">
        <f>Y79*0.02/100</f>
        <v>0</v>
      </c>
      <c r="AR79" s="126"/>
      <c r="AS79" s="228"/>
      <c r="AT79" s="2285"/>
      <c r="AU79" s="152">
        <f>Содержание!G38</f>
        <v>0</v>
      </c>
      <c r="AV79" s="134"/>
      <c r="AW79" s="56"/>
      <c r="AX79" s="140"/>
      <c r="AY79" s="56"/>
      <c r="AZ79" s="56"/>
      <c r="BA79" s="56"/>
      <c r="BB79" s="56"/>
      <c r="BC79" s="140"/>
      <c r="BD79" s="56"/>
      <c r="BE79" s="224">
        <f>Содержание!G41*0</f>
        <v>0</v>
      </c>
      <c r="BF79" s="224"/>
      <c r="BG79" s="56"/>
      <c r="BH79" s="135"/>
      <c r="BI79" s="684"/>
      <c r="BJ79" s="55"/>
      <c r="BK79" s="55"/>
      <c r="BL79" s="118"/>
      <c r="BM79" s="144"/>
      <c r="BN79" s="55"/>
      <c r="BO79" s="55"/>
      <c r="BP79" s="118"/>
      <c r="BQ79" s="134"/>
      <c r="BR79" s="56"/>
      <c r="BS79" s="57"/>
      <c r="BT79" s="135"/>
      <c r="BU79" s="708"/>
      <c r="BV79" s="57"/>
      <c r="BW79" s="56"/>
      <c r="BX79" s="56"/>
      <c r="BY79" s="56"/>
      <c r="BZ79" s="135"/>
      <c r="CA79" s="152">
        <f>Содержание!G42</f>
        <v>0</v>
      </c>
      <c r="CB79" s="135">
        <f>Содержание!G43</f>
        <v>0</v>
      </c>
      <c r="CC79" s="2267"/>
      <c r="CD79" s="134"/>
      <c r="CE79" s="56"/>
      <c r="CF79" s="56"/>
      <c r="CG79" s="224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60"/>
      <c r="DH79" s="60"/>
      <c r="DI79" s="56"/>
      <c r="DJ79" s="60"/>
      <c r="DK79" s="474"/>
      <c r="DL79" s="60"/>
      <c r="DM79" s="60"/>
      <c r="DN79" s="60"/>
      <c r="DO79" s="60"/>
      <c r="DP79" s="60"/>
      <c r="DQ79" s="766"/>
      <c r="DR79" s="924"/>
      <c r="DS79" s="60"/>
      <c r="DT79" s="140"/>
      <c r="DU79" s="134"/>
      <c r="DV79" s="135"/>
      <c r="DW79" s="932"/>
      <c r="DX79" s="690"/>
      <c r="DY79" s="690"/>
      <c r="DZ79" s="690"/>
      <c r="EA79" s="690"/>
      <c r="EB79" s="690"/>
      <c r="EC79" s="690"/>
      <c r="ED79" s="60"/>
      <c r="EE79" s="766"/>
      <c r="EF79" s="152"/>
      <c r="EG79" s="135"/>
      <c r="EH79" s="918"/>
      <c r="EI79" s="690"/>
      <c r="EJ79" s="690"/>
      <c r="EK79" s="690"/>
      <c r="EL79" s="690"/>
      <c r="EM79" s="690"/>
      <c r="EN79" s="690"/>
      <c r="EO79" s="690"/>
      <c r="EP79" s="690"/>
      <c r="EQ79" s="690"/>
      <c r="ER79" s="690"/>
      <c r="ES79" s="690"/>
      <c r="ET79" s="690"/>
      <c r="EU79" s="690"/>
      <c r="EV79" s="690"/>
      <c r="EW79" s="690"/>
      <c r="EX79" s="60"/>
      <c r="EY79" s="690"/>
      <c r="EZ79" s="690"/>
      <c r="FA79" s="474"/>
      <c r="FB79" s="690"/>
      <c r="FC79" s="56"/>
      <c r="FD79" s="56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807"/>
      <c r="GI79" s="807"/>
      <c r="GJ79" s="807"/>
      <c r="GK79" s="807"/>
      <c r="GL79" s="807"/>
      <c r="GM79" s="169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807"/>
      <c r="IM79" s="918"/>
      <c r="IN79" s="60"/>
      <c r="IO79" s="60"/>
      <c r="IP79" s="60"/>
      <c r="IQ79" s="58"/>
      <c r="IR79" s="58"/>
      <c r="IS79" s="58"/>
      <c r="IT79" s="58"/>
      <c r="IU79" s="58"/>
      <c r="IV79" s="58"/>
      <c r="IW79" s="58"/>
      <c r="IX79" s="58"/>
      <c r="IY79" s="58"/>
      <c r="IZ79" s="58"/>
      <c r="JA79" s="58"/>
      <c r="JB79" s="58"/>
      <c r="JC79" s="58"/>
      <c r="JD79" s="58"/>
      <c r="JE79" s="58"/>
      <c r="JF79" s="58"/>
      <c r="JG79" s="58"/>
      <c r="JH79" s="59"/>
      <c r="JI79" s="61"/>
      <c r="JJ79" s="58"/>
      <c r="JK79" s="58"/>
      <c r="JL79" s="58"/>
      <c r="JM79" s="61"/>
      <c r="JN79" s="169"/>
      <c r="JO79" s="61"/>
      <c r="JP79" s="62"/>
      <c r="JQ79" s="62"/>
      <c r="JR79" s="62"/>
      <c r="JS79" s="62"/>
      <c r="JT79" s="62"/>
      <c r="JU79" s="62"/>
      <c r="JV79" s="62"/>
      <c r="JW79" s="62"/>
      <c r="JX79" s="62"/>
      <c r="JY79" s="62"/>
      <c r="JZ79" s="62"/>
      <c r="KA79" s="62"/>
      <c r="KB79" s="62"/>
      <c r="KC79" s="62"/>
      <c r="KD79" s="18"/>
      <c r="KE79" s="18"/>
      <c r="KF79" s="1070"/>
      <c r="KI79" s="221"/>
    </row>
    <row r="80" spans="1:295" s="7" customFormat="1" ht="16.5" thickBot="1" x14ac:dyDescent="0.3">
      <c r="A80" s="357"/>
      <c r="B80" s="412"/>
      <c r="C80" s="64"/>
      <c r="D80" s="361"/>
      <c r="E80" s="2267"/>
      <c r="F80" s="346"/>
      <c r="G80" s="147"/>
      <c r="H80" s="148"/>
      <c r="I80" s="147"/>
      <c r="J80" s="147"/>
      <c r="K80" s="147"/>
      <c r="L80" s="53"/>
      <c r="M80" s="53"/>
      <c r="N80" s="149"/>
      <c r="O80" s="53"/>
      <c r="P80" s="53"/>
      <c r="Q80" s="55"/>
      <c r="R80" s="55"/>
      <c r="S80" s="53"/>
      <c r="T80" s="53"/>
      <c r="U80" s="53"/>
      <c r="V80" s="57"/>
      <c r="W80" s="2267"/>
      <c r="X80" s="245"/>
      <c r="Y80" s="245"/>
      <c r="Z80" s="245"/>
      <c r="AA80" s="245"/>
      <c r="AB80" s="245"/>
      <c r="AC80" s="457"/>
      <c r="AD80" s="342"/>
      <c r="AE80" s="428"/>
      <c r="AF80" s="650"/>
      <c r="AG80" s="651"/>
      <c r="AH80" s="656"/>
      <c r="AI80" s="656"/>
      <c r="AJ80" s="656"/>
      <c r="AK80" s="656"/>
      <c r="AL80" s="656"/>
      <c r="AM80" s="657"/>
      <c r="AN80" s="352"/>
      <c r="AO80" s="215"/>
      <c r="AP80" s="348"/>
      <c r="AQ80" s="442"/>
      <c r="AR80" s="126"/>
      <c r="AS80" s="228"/>
      <c r="AT80" s="2285"/>
      <c r="AU80" s="152"/>
      <c r="AV80" s="134"/>
      <c r="AW80" s="56"/>
      <c r="AX80" s="140"/>
      <c r="AY80" s="56"/>
      <c r="AZ80" s="56"/>
      <c r="BA80" s="56"/>
      <c r="BB80" s="56"/>
      <c r="BC80" s="140"/>
      <c r="BD80" s="56"/>
      <c r="BE80" s="224"/>
      <c r="BF80" s="224"/>
      <c r="BG80" s="56"/>
      <c r="BH80" s="135"/>
      <c r="BI80" s="684"/>
      <c r="BJ80" s="55"/>
      <c r="BK80" s="55"/>
      <c r="BL80" s="118"/>
      <c r="BM80" s="144"/>
      <c r="BN80" s="55"/>
      <c r="BO80" s="55"/>
      <c r="BP80" s="118"/>
      <c r="BQ80" s="134"/>
      <c r="BR80" s="56"/>
      <c r="BS80" s="57"/>
      <c r="BT80" s="135"/>
      <c r="BU80" s="708"/>
      <c r="BV80" s="57"/>
      <c r="BW80" s="56"/>
      <c r="BX80" s="56"/>
      <c r="BY80" s="56"/>
      <c r="BZ80" s="135"/>
      <c r="CA80" s="152"/>
      <c r="CB80" s="135"/>
      <c r="CC80" s="2267"/>
      <c r="CD80" s="134"/>
      <c r="CE80" s="56"/>
      <c r="CF80" s="56"/>
      <c r="CG80" s="224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60"/>
      <c r="DH80" s="60"/>
      <c r="DI80" s="56"/>
      <c r="DJ80" s="60"/>
      <c r="DK80" s="474"/>
      <c r="DL80" s="60"/>
      <c r="DM80" s="60"/>
      <c r="DN80" s="60"/>
      <c r="DO80" s="60"/>
      <c r="DP80" s="60"/>
      <c r="DQ80" s="766"/>
      <c r="DR80" s="924"/>
      <c r="DS80" s="60"/>
      <c r="DT80" s="140"/>
      <c r="DU80" s="134"/>
      <c r="DV80" s="135"/>
      <c r="DW80" s="932"/>
      <c r="DX80" s="690"/>
      <c r="DY80" s="690"/>
      <c r="DZ80" s="690"/>
      <c r="EA80" s="690"/>
      <c r="EB80" s="690"/>
      <c r="EC80" s="690"/>
      <c r="ED80" s="60"/>
      <c r="EE80" s="766"/>
      <c r="EF80" s="152"/>
      <c r="EG80" s="135"/>
      <c r="EH80" s="918"/>
      <c r="EI80" s="690"/>
      <c r="EJ80" s="690"/>
      <c r="EK80" s="690"/>
      <c r="EL80" s="690"/>
      <c r="EM80" s="690"/>
      <c r="EN80" s="690"/>
      <c r="EO80" s="690"/>
      <c r="EP80" s="690"/>
      <c r="EQ80" s="690"/>
      <c r="ER80" s="690"/>
      <c r="ES80" s="690"/>
      <c r="ET80" s="690"/>
      <c r="EU80" s="690"/>
      <c r="EV80" s="690"/>
      <c r="EW80" s="690"/>
      <c r="EX80" s="60"/>
      <c r="EY80" s="690"/>
      <c r="EZ80" s="690"/>
      <c r="FA80" s="474"/>
      <c r="FB80" s="690"/>
      <c r="FC80" s="56"/>
      <c r="FD80" s="56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807"/>
      <c r="GI80" s="807"/>
      <c r="GJ80" s="807"/>
      <c r="GK80" s="807"/>
      <c r="GL80" s="807"/>
      <c r="GM80" s="169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0"/>
      <c r="IG80" s="60"/>
      <c r="IH80" s="60"/>
      <c r="II80" s="60"/>
      <c r="IJ80" s="60"/>
      <c r="IK80" s="60"/>
      <c r="IL80" s="807"/>
      <c r="IM80" s="918"/>
      <c r="IN80" s="60"/>
      <c r="IO80" s="60"/>
      <c r="IP80" s="60"/>
      <c r="IQ80" s="58"/>
      <c r="IR80" s="58"/>
      <c r="IS80" s="58"/>
      <c r="IT80" s="58"/>
      <c r="IU80" s="58"/>
      <c r="IV80" s="58"/>
      <c r="IW80" s="58"/>
      <c r="IX80" s="58"/>
      <c r="IY80" s="58"/>
      <c r="IZ80" s="58"/>
      <c r="JA80" s="58"/>
      <c r="JB80" s="58"/>
      <c r="JC80" s="58"/>
      <c r="JD80" s="58"/>
      <c r="JE80" s="58"/>
      <c r="JF80" s="58"/>
      <c r="JG80" s="58"/>
      <c r="JH80" s="59"/>
      <c r="JI80" s="61"/>
      <c r="JJ80" s="58"/>
      <c r="JK80" s="58"/>
      <c r="JL80" s="58"/>
      <c r="JM80" s="61"/>
      <c r="JN80" s="169"/>
      <c r="JO80" s="61"/>
      <c r="JP80" s="62"/>
      <c r="JQ80" s="62"/>
      <c r="JR80" s="62"/>
      <c r="JS80" s="62"/>
      <c r="JT80" s="62"/>
      <c r="JU80" s="62"/>
      <c r="JV80" s="62"/>
      <c r="JW80" s="62"/>
      <c r="JX80" s="62"/>
      <c r="JY80" s="62"/>
      <c r="JZ80" s="62"/>
      <c r="KA80" s="62"/>
      <c r="KB80" s="62"/>
      <c r="KC80" s="62"/>
      <c r="KD80" s="18"/>
      <c r="KE80" s="18"/>
      <c r="KF80" s="1070"/>
      <c r="KI80" s="221"/>
    </row>
    <row r="81" spans="1:295" s="7" customFormat="1" ht="15.75" hidden="1" customHeight="1" x14ac:dyDescent="0.25">
      <c r="A81" s="357"/>
      <c r="B81" s="410" t="s">
        <v>242</v>
      </c>
      <c r="C81" s="64"/>
      <c r="D81" s="361"/>
      <c r="E81" s="2267"/>
      <c r="F81" s="346"/>
      <c r="G81" s="147"/>
      <c r="H81" s="148"/>
      <c r="I81" s="147"/>
      <c r="J81" s="147"/>
      <c r="K81" s="147"/>
      <c r="L81" s="53"/>
      <c r="M81" s="53"/>
      <c r="N81" s="149"/>
      <c r="O81" s="53"/>
      <c r="P81" s="53"/>
      <c r="Q81" s="55"/>
      <c r="R81" s="55"/>
      <c r="S81" s="53"/>
      <c r="T81" s="53"/>
      <c r="U81" s="53"/>
      <c r="V81" s="57"/>
      <c r="W81" s="2267"/>
      <c r="X81" s="245"/>
      <c r="Y81" s="245"/>
      <c r="Z81" s="245"/>
      <c r="AA81" s="245"/>
      <c r="AB81" s="245"/>
      <c r="AC81" s="457"/>
      <c r="AD81" s="342"/>
      <c r="AE81" s="428"/>
      <c r="AF81" s="650"/>
      <c r="AG81" s="651"/>
      <c r="AH81" s="656"/>
      <c r="AI81" s="656"/>
      <c r="AJ81" s="656"/>
      <c r="AK81" s="656"/>
      <c r="AL81" s="656"/>
      <c r="AM81" s="657"/>
      <c r="AN81" s="352"/>
      <c r="AO81" s="215"/>
      <c r="AP81" s="348"/>
      <c r="AQ81" s="442"/>
      <c r="AR81" s="126"/>
      <c r="AS81" s="228"/>
      <c r="AT81" s="2285"/>
      <c r="AU81" s="152"/>
      <c r="AV81" s="134"/>
      <c r="AW81" s="56"/>
      <c r="AX81" s="140"/>
      <c r="AY81" s="56"/>
      <c r="AZ81" s="56"/>
      <c r="BA81" s="56"/>
      <c r="BB81" s="56"/>
      <c r="BC81" s="140"/>
      <c r="BD81" s="56"/>
      <c r="BE81" s="224"/>
      <c r="BF81" s="224"/>
      <c r="BG81" s="56"/>
      <c r="BH81" s="135"/>
      <c r="BI81" s="684"/>
      <c r="BJ81" s="55"/>
      <c r="BK81" s="55"/>
      <c r="BL81" s="118"/>
      <c r="BM81" s="144"/>
      <c r="BN81" s="55"/>
      <c r="BO81" s="55"/>
      <c r="BP81" s="118"/>
      <c r="BQ81" s="134"/>
      <c r="BR81" s="56"/>
      <c r="BS81" s="57"/>
      <c r="BT81" s="135"/>
      <c r="BU81" s="708"/>
      <c r="BV81" s="57"/>
      <c r="BW81" s="56"/>
      <c r="BX81" s="56"/>
      <c r="BY81" s="56"/>
      <c r="BZ81" s="135"/>
      <c r="CA81" s="152"/>
      <c r="CB81" s="135"/>
      <c r="CC81" s="2267"/>
      <c r="CD81" s="134"/>
      <c r="CE81" s="56"/>
      <c r="CF81" s="56"/>
      <c r="CG81" s="224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60"/>
      <c r="DH81" s="60"/>
      <c r="DI81" s="56"/>
      <c r="DJ81" s="60"/>
      <c r="DK81" s="474"/>
      <c r="DL81" s="60"/>
      <c r="DM81" s="60"/>
      <c r="DN81" s="60"/>
      <c r="DO81" s="60"/>
      <c r="DP81" s="60"/>
      <c r="DQ81" s="766"/>
      <c r="DR81" s="924"/>
      <c r="DS81" s="60"/>
      <c r="DT81" s="140"/>
      <c r="DU81" s="134"/>
      <c r="DV81" s="135"/>
      <c r="DW81" s="932"/>
      <c r="DX81" s="690"/>
      <c r="DY81" s="690"/>
      <c r="DZ81" s="690"/>
      <c r="EA81" s="690"/>
      <c r="EB81" s="690"/>
      <c r="EC81" s="690"/>
      <c r="ED81" s="60"/>
      <c r="EE81" s="766"/>
      <c r="EF81" s="152"/>
      <c r="EG81" s="135"/>
      <c r="EH81" s="918"/>
      <c r="EI81" s="690"/>
      <c r="EJ81" s="690"/>
      <c r="EK81" s="690"/>
      <c r="EL81" s="690"/>
      <c r="EM81" s="690"/>
      <c r="EN81" s="690"/>
      <c r="EO81" s="690"/>
      <c r="EP81" s="690"/>
      <c r="EQ81" s="690"/>
      <c r="ER81" s="690"/>
      <c r="ES81" s="690"/>
      <c r="ET81" s="690"/>
      <c r="EU81" s="690"/>
      <c r="EV81" s="690"/>
      <c r="EW81" s="690"/>
      <c r="EX81" s="60"/>
      <c r="EY81" s="690"/>
      <c r="EZ81" s="690"/>
      <c r="FA81" s="474"/>
      <c r="FB81" s="690"/>
      <c r="FC81" s="56"/>
      <c r="FD81" s="56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807"/>
      <c r="GI81" s="807"/>
      <c r="GJ81" s="807"/>
      <c r="GK81" s="807"/>
      <c r="GL81" s="807"/>
      <c r="GM81" s="169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0"/>
      <c r="IG81" s="60"/>
      <c r="IH81" s="60"/>
      <c r="II81" s="60"/>
      <c r="IJ81" s="60"/>
      <c r="IK81" s="60"/>
      <c r="IL81" s="807"/>
      <c r="IM81" s="918"/>
      <c r="IN81" s="60"/>
      <c r="IO81" s="60"/>
      <c r="IP81" s="60"/>
      <c r="IQ81" s="58"/>
      <c r="IR81" s="58"/>
      <c r="IS81" s="58"/>
      <c r="IT81" s="58"/>
      <c r="IU81" s="58"/>
      <c r="IV81" s="58"/>
      <c r="IW81" s="58"/>
      <c r="IX81" s="58"/>
      <c r="IY81" s="58"/>
      <c r="IZ81" s="58"/>
      <c r="JA81" s="58"/>
      <c r="JB81" s="58"/>
      <c r="JC81" s="58"/>
      <c r="JD81" s="58"/>
      <c r="JE81" s="58"/>
      <c r="JF81" s="58"/>
      <c r="JG81" s="58"/>
      <c r="JH81" s="59"/>
      <c r="JI81" s="61"/>
      <c r="JJ81" s="58"/>
      <c r="JK81" s="58"/>
      <c r="JL81" s="58"/>
      <c r="JM81" s="61"/>
      <c r="JN81" s="169"/>
      <c r="JO81" s="61"/>
      <c r="JP81" s="62"/>
      <c r="JQ81" s="62"/>
      <c r="JR81" s="62"/>
      <c r="JS81" s="62"/>
      <c r="JT81" s="62"/>
      <c r="JU81" s="62"/>
      <c r="JV81" s="62"/>
      <c r="JW81" s="62"/>
      <c r="JX81" s="62"/>
      <c r="JY81" s="62"/>
      <c r="JZ81" s="62"/>
      <c r="KA81" s="62"/>
      <c r="KB81" s="62"/>
      <c r="KC81" s="62"/>
      <c r="KD81" s="18"/>
      <c r="KE81" s="18"/>
      <c r="KF81" s="1070"/>
      <c r="KI81" s="221"/>
    </row>
    <row r="82" spans="1:295" s="7" customFormat="1" ht="16.5" hidden="1" customHeight="1" x14ac:dyDescent="0.25">
      <c r="A82" s="357"/>
      <c r="B82" s="413" t="s">
        <v>410</v>
      </c>
      <c r="C82" s="762">
        <f>(364187.94-176000)*0.8*0</f>
        <v>0</v>
      </c>
      <c r="D82" s="360">
        <f t="shared" ref="D82" si="7">C82/1.2</f>
        <v>0</v>
      </c>
      <c r="E82" s="2267"/>
      <c r="F82" s="117"/>
      <c r="G82" s="53"/>
      <c r="H82" s="54"/>
      <c r="I82" s="53"/>
      <c r="J82" s="53"/>
      <c r="K82" s="53"/>
      <c r="L82" s="53"/>
      <c r="M82" s="53"/>
      <c r="N82" s="149"/>
      <c r="O82" s="53"/>
      <c r="P82" s="53"/>
      <c r="Q82" s="53"/>
      <c r="R82" s="53"/>
      <c r="S82" s="53"/>
      <c r="T82" s="53"/>
      <c r="U82" s="53"/>
      <c r="V82" s="57"/>
      <c r="W82" s="2267"/>
      <c r="X82" s="245"/>
      <c r="Y82" s="245">
        <f>833.306*0</f>
        <v>0</v>
      </c>
      <c r="Z82" s="245"/>
      <c r="AA82" s="245"/>
      <c r="AB82" s="245"/>
      <c r="AC82" s="457"/>
      <c r="AD82" s="342"/>
      <c r="AE82" s="427">
        <f>6.02/100*Y82</f>
        <v>0</v>
      </c>
      <c r="AF82" s="650"/>
      <c r="AG82" s="651"/>
      <c r="AH82" s="644"/>
      <c r="AI82" s="644"/>
      <c r="AJ82" s="644">
        <f>32.89/AJ95/100*Y82</f>
        <v>0</v>
      </c>
      <c r="AK82" s="644"/>
      <c r="AL82" s="644"/>
      <c r="AM82" s="645">
        <f>61.09/AM95/100*Y82</f>
        <v>0</v>
      </c>
      <c r="AN82" s="352"/>
      <c r="AO82" s="215"/>
      <c r="AP82" s="348"/>
      <c r="AQ82" s="441">
        <f>Y82*0.02/100</f>
        <v>0</v>
      </c>
      <c r="AR82" s="126"/>
      <c r="AS82" s="228"/>
      <c r="AT82" s="2285"/>
      <c r="AU82" s="152"/>
      <c r="AV82" s="134"/>
      <c r="AW82" s="56"/>
      <c r="AX82" s="140"/>
      <c r="AY82" s="56"/>
      <c r="AZ82" s="56"/>
      <c r="BA82" s="56"/>
      <c r="BB82" s="56"/>
      <c r="BC82" s="140"/>
      <c r="BD82" s="56"/>
      <c r="BE82" s="224">
        <f>36.572*0</f>
        <v>0</v>
      </c>
      <c r="BF82" s="224"/>
      <c r="BG82" s="56"/>
      <c r="BH82" s="135"/>
      <c r="BI82" s="684"/>
      <c r="BJ82" s="55"/>
      <c r="BK82" s="55"/>
      <c r="BL82" s="118"/>
      <c r="BM82" s="144"/>
      <c r="BN82" s="55"/>
      <c r="BO82" s="55"/>
      <c r="BP82" s="118"/>
      <c r="BQ82" s="134"/>
      <c r="BR82" s="56"/>
      <c r="BS82" s="57"/>
      <c r="BT82" s="135"/>
      <c r="BU82" s="708"/>
      <c r="BV82" s="57"/>
      <c r="BW82" s="56"/>
      <c r="BX82" s="56"/>
      <c r="BY82" s="56"/>
      <c r="BZ82" s="135"/>
      <c r="CA82" s="152"/>
      <c r="CB82" s="135"/>
      <c r="CC82" s="2267"/>
      <c r="CD82" s="134"/>
      <c r="CE82" s="56"/>
      <c r="CF82" s="56"/>
      <c r="CG82" s="224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60"/>
      <c r="DH82" s="60"/>
      <c r="DI82" s="56"/>
      <c r="DJ82" s="60"/>
      <c r="DK82" s="60"/>
      <c r="DL82" s="60"/>
      <c r="DM82" s="60"/>
      <c r="DN82" s="60"/>
      <c r="DO82" s="60"/>
      <c r="DP82" s="60"/>
      <c r="DQ82" s="766"/>
      <c r="DR82" s="924"/>
      <c r="DS82" s="60"/>
      <c r="DT82" s="140"/>
      <c r="DU82" s="134"/>
      <c r="DV82" s="135"/>
      <c r="DW82" s="932"/>
      <c r="DX82" s="690"/>
      <c r="DY82" s="690"/>
      <c r="DZ82" s="690"/>
      <c r="EA82" s="690"/>
      <c r="EB82" s="690"/>
      <c r="EC82" s="690"/>
      <c r="ED82" s="60"/>
      <c r="EE82" s="766"/>
      <c r="EF82" s="152"/>
      <c r="EG82" s="135"/>
      <c r="EH82" s="918"/>
      <c r="EI82" s="690"/>
      <c r="EJ82" s="690"/>
      <c r="EK82" s="690"/>
      <c r="EL82" s="690"/>
      <c r="EM82" s="690"/>
      <c r="EN82" s="690"/>
      <c r="EO82" s="690"/>
      <c r="EP82" s="690"/>
      <c r="EQ82" s="690"/>
      <c r="ER82" s="690"/>
      <c r="ES82" s="690"/>
      <c r="ET82" s="690"/>
      <c r="EU82" s="690"/>
      <c r="EV82" s="690"/>
      <c r="EW82" s="690"/>
      <c r="EX82" s="60"/>
      <c r="EY82" s="690"/>
      <c r="EZ82" s="690"/>
      <c r="FA82" s="474"/>
      <c r="FB82" s="690"/>
      <c r="FC82" s="56"/>
      <c r="FD82" s="56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807"/>
      <c r="GI82" s="807"/>
      <c r="GJ82" s="807"/>
      <c r="GK82" s="807"/>
      <c r="GL82" s="807"/>
      <c r="GM82" s="169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0"/>
      <c r="IG82" s="60"/>
      <c r="IH82" s="60"/>
      <c r="II82" s="60"/>
      <c r="IJ82" s="60"/>
      <c r="IK82" s="60"/>
      <c r="IL82" s="807"/>
      <c r="IM82" s="918"/>
      <c r="IN82" s="60"/>
      <c r="IO82" s="60"/>
      <c r="IP82" s="60"/>
      <c r="IQ82" s="58"/>
      <c r="IR82" s="58"/>
      <c r="IS82" s="58"/>
      <c r="IT82" s="58"/>
      <c r="IU82" s="58"/>
      <c r="IV82" s="58"/>
      <c r="IW82" s="58"/>
      <c r="IX82" s="58"/>
      <c r="IY82" s="58"/>
      <c r="IZ82" s="58"/>
      <c r="JA82" s="58"/>
      <c r="JB82" s="58"/>
      <c r="JC82" s="58"/>
      <c r="JD82" s="58"/>
      <c r="JE82" s="58"/>
      <c r="JF82" s="58"/>
      <c r="JG82" s="58"/>
      <c r="JH82" s="59"/>
      <c r="JI82" s="61"/>
      <c r="JJ82" s="58"/>
      <c r="JK82" s="58"/>
      <c r="JL82" s="58"/>
      <c r="JM82" s="61"/>
      <c r="JN82" s="169"/>
      <c r="JO82" s="61"/>
      <c r="JP82" s="62"/>
      <c r="JQ82" s="62"/>
      <c r="JR82" s="62"/>
      <c r="JS82" s="62"/>
      <c r="JT82" s="62"/>
      <c r="JU82" s="62"/>
      <c r="JV82" s="62"/>
      <c r="JW82" s="62"/>
      <c r="JX82" s="62"/>
      <c r="JY82" s="62"/>
      <c r="JZ82" s="62"/>
      <c r="KA82" s="62"/>
      <c r="KB82" s="62"/>
      <c r="KC82" s="62"/>
      <c r="KD82" s="18"/>
      <c r="KE82" s="18"/>
      <c r="KF82" s="1070"/>
      <c r="KI82" s="221"/>
    </row>
    <row r="83" spans="1:295" s="7" customFormat="1" ht="25.5" hidden="1" customHeight="1" x14ac:dyDescent="0.25">
      <c r="A83" s="357"/>
      <c r="B83" s="416" t="s">
        <v>446</v>
      </c>
      <c r="C83" s="762"/>
      <c r="D83" s="812"/>
      <c r="E83" s="2267"/>
      <c r="F83" s="680"/>
      <c r="G83" s="681"/>
      <c r="H83" s="682"/>
      <c r="I83" s="681"/>
      <c r="J83" s="681"/>
      <c r="K83" s="681"/>
      <c r="L83" s="120"/>
      <c r="M83" s="120"/>
      <c r="N83" s="150"/>
      <c r="O83" s="120"/>
      <c r="P83" s="120"/>
      <c r="Q83" s="120"/>
      <c r="R83" s="120"/>
      <c r="S83" s="120"/>
      <c r="T83" s="120"/>
      <c r="U83" s="120"/>
      <c r="V83" s="124"/>
      <c r="W83" s="2267"/>
      <c r="X83" s="246"/>
      <c r="Y83" s="246"/>
      <c r="Z83" s="246"/>
      <c r="AA83" s="246"/>
      <c r="AB83" s="246"/>
      <c r="AC83" s="458"/>
      <c r="AD83" s="343"/>
      <c r="AE83" s="427">
        <f>4.183/100*AB83+5.9/100*Y83+7/100*AD83</f>
        <v>0</v>
      </c>
      <c r="AF83" s="642"/>
      <c r="AG83" s="643"/>
      <c r="AH83" s="644"/>
      <c r="AI83" s="644"/>
      <c r="AJ83" s="644">
        <f>24/100/$AJ$95*AB83+37.6/100/$AJ$95*Y83</f>
        <v>0</v>
      </c>
      <c r="AK83" s="644">
        <f>28.7/100/$AK$95*AB83</f>
        <v>0</v>
      </c>
      <c r="AL83" s="644"/>
      <c r="AM83" s="645">
        <f>43.1/100/$AM$95*AB83+51.7/100/$AM$95*Y83+93/100/$AM$95*AD83</f>
        <v>0</v>
      </c>
      <c r="AN83" s="353">
        <f>4.7/100*Y83</f>
        <v>0</v>
      </c>
      <c r="AO83" s="215"/>
      <c r="AP83" s="349"/>
      <c r="AQ83" s="441">
        <f>0.018/100*Y83</f>
        <v>0</v>
      </c>
      <c r="AR83" s="126"/>
      <c r="AS83" s="228"/>
      <c r="AT83" s="2285"/>
      <c r="AU83" s="1083"/>
      <c r="AV83" s="144"/>
      <c r="AW83" s="677"/>
      <c r="AX83" s="683"/>
      <c r="AY83" s="677"/>
      <c r="AZ83" s="677"/>
      <c r="BA83" s="677"/>
      <c r="BB83" s="677"/>
      <c r="BC83" s="683"/>
      <c r="BD83" s="677"/>
      <c r="BE83" s="457"/>
      <c r="BF83" s="457"/>
      <c r="BG83" s="677"/>
      <c r="BH83" s="687"/>
      <c r="BI83" s="684"/>
      <c r="BJ83" s="55"/>
      <c r="BK83" s="55"/>
      <c r="BL83" s="118"/>
      <c r="BM83" s="144"/>
      <c r="BN83" s="684"/>
      <c r="BO83" s="684"/>
      <c r="BP83" s="685"/>
      <c r="BQ83" s="144"/>
      <c r="BR83" s="677"/>
      <c r="BS83" s="686"/>
      <c r="BT83" s="687"/>
      <c r="BU83" s="710"/>
      <c r="BV83" s="686"/>
      <c r="BW83" s="56"/>
      <c r="BX83" s="56"/>
      <c r="BY83" s="677"/>
      <c r="BZ83" s="687"/>
      <c r="CA83" s="1083"/>
      <c r="CB83" s="687"/>
      <c r="CC83" s="2267"/>
      <c r="CD83" s="136"/>
      <c r="CE83" s="123"/>
      <c r="CF83" s="123"/>
      <c r="CG83" s="457"/>
      <c r="CH83" s="677"/>
      <c r="CI83" s="677"/>
      <c r="CJ83" s="677"/>
      <c r="CK83" s="677"/>
      <c r="CL83" s="677"/>
      <c r="CM83" s="1076"/>
      <c r="CN83" s="677"/>
      <c r="CO83" s="677"/>
      <c r="CP83" s="677"/>
      <c r="CQ83" s="677"/>
      <c r="CR83" s="677"/>
      <c r="CS83" s="677"/>
      <c r="CT83" s="677"/>
      <c r="CU83" s="677"/>
      <c r="CV83" s="677"/>
      <c r="CW83" s="677"/>
      <c r="CX83" s="677"/>
      <c r="CY83" s="677"/>
      <c r="CZ83" s="677"/>
      <c r="DA83" s="677"/>
      <c r="DB83" s="677"/>
      <c r="DC83" s="677"/>
      <c r="DD83" s="677"/>
      <c r="DE83" s="677"/>
      <c r="DF83" s="677"/>
      <c r="DG83" s="688"/>
      <c r="DH83" s="688"/>
      <c r="DI83" s="677"/>
      <c r="DJ83" s="688"/>
      <c r="DK83" s="688"/>
      <c r="DL83" s="688"/>
      <c r="DM83" s="688"/>
      <c r="DN83" s="688"/>
      <c r="DO83" s="688"/>
      <c r="DP83" s="688"/>
      <c r="DQ83" s="769"/>
      <c r="DR83" s="927"/>
      <c r="DS83" s="688"/>
      <c r="DT83" s="683"/>
      <c r="DU83" s="144"/>
      <c r="DV83" s="687"/>
      <c r="DW83" s="934"/>
      <c r="DX83" s="644"/>
      <c r="DY83" s="644"/>
      <c r="DZ83" s="644"/>
      <c r="EA83" s="644"/>
      <c r="EB83" s="644"/>
      <c r="EC83" s="644"/>
      <c r="ED83" s="688"/>
      <c r="EE83" s="769"/>
      <c r="EF83" s="1083"/>
      <c r="EG83" s="687"/>
      <c r="EH83" s="1067"/>
      <c r="EI83" s="644"/>
      <c r="EJ83" s="644"/>
      <c r="EK83" s="644"/>
      <c r="EL83" s="644"/>
      <c r="EM83" s="644"/>
      <c r="EN83" s="644"/>
      <c r="EO83" s="644"/>
      <c r="EP83" s="644"/>
      <c r="EQ83" s="644"/>
      <c r="ER83" s="644"/>
      <c r="ES83" s="644"/>
      <c r="ET83" s="644"/>
      <c r="EU83" s="644"/>
      <c r="EV83" s="644"/>
      <c r="EW83" s="644"/>
      <c r="EX83" s="60"/>
      <c r="EY83" s="644"/>
      <c r="EZ83" s="644"/>
      <c r="FA83" s="1077"/>
      <c r="FB83" s="690"/>
      <c r="FC83" s="56"/>
      <c r="FD83" s="56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807"/>
      <c r="GI83" s="807"/>
      <c r="GJ83" s="807"/>
      <c r="GK83" s="807"/>
      <c r="GL83" s="807"/>
      <c r="GM83" s="169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0"/>
      <c r="IG83" s="60"/>
      <c r="IH83" s="60"/>
      <c r="II83" s="60"/>
      <c r="IJ83" s="60"/>
      <c r="IK83" s="60"/>
      <c r="IL83" s="807"/>
      <c r="IM83" s="918"/>
      <c r="IN83" s="60"/>
      <c r="IO83" s="60"/>
      <c r="IP83" s="60"/>
      <c r="IQ83" s="58"/>
      <c r="IR83" s="58"/>
      <c r="IS83" s="58"/>
      <c r="IT83" s="58"/>
      <c r="IU83" s="58"/>
      <c r="IV83" s="58"/>
      <c r="IW83" s="58"/>
      <c r="IX83" s="58"/>
      <c r="IY83" s="58"/>
      <c r="IZ83" s="58"/>
      <c r="JA83" s="58"/>
      <c r="JB83" s="58"/>
      <c r="JC83" s="58"/>
      <c r="JD83" s="58"/>
      <c r="JE83" s="58"/>
      <c r="JF83" s="58"/>
      <c r="JG83" s="58"/>
      <c r="JH83" s="59"/>
      <c r="JI83" s="61"/>
      <c r="JJ83" s="58"/>
      <c r="JK83" s="58"/>
      <c r="JL83" s="58"/>
      <c r="JM83" s="61"/>
      <c r="JN83" s="169"/>
      <c r="JO83" s="61"/>
      <c r="JP83" s="62"/>
      <c r="JQ83" s="62"/>
      <c r="JR83" s="62"/>
      <c r="JS83" s="62"/>
      <c r="JT83" s="62"/>
      <c r="JU83" s="62"/>
      <c r="JV83" s="62"/>
      <c r="JW83" s="62"/>
      <c r="JX83" s="62"/>
      <c r="JY83" s="62"/>
      <c r="JZ83" s="62"/>
      <c r="KA83" s="62"/>
      <c r="KB83" s="62"/>
      <c r="KC83" s="62"/>
      <c r="KD83" s="18"/>
      <c r="KE83" s="18"/>
      <c r="KF83" s="1070"/>
      <c r="KI83" s="221"/>
    </row>
    <row r="84" spans="1:295" s="7" customFormat="1" ht="25.5" hidden="1" customHeight="1" x14ac:dyDescent="0.25">
      <c r="A84" s="357"/>
      <c r="B84" s="416" t="s">
        <v>476</v>
      </c>
      <c r="C84" s="762">
        <f>334433.13*0.8*0</f>
        <v>0</v>
      </c>
      <c r="D84" s="812">
        <f>C84/1.2</f>
        <v>0</v>
      </c>
      <c r="E84" s="2267"/>
      <c r="F84" s="680"/>
      <c r="G84" s="681"/>
      <c r="H84" s="682"/>
      <c r="I84" s="681"/>
      <c r="J84" s="681"/>
      <c r="K84" s="681"/>
      <c r="L84" s="120"/>
      <c r="M84" s="120"/>
      <c r="N84" s="150"/>
      <c r="O84" s="120"/>
      <c r="P84" s="120"/>
      <c r="Q84" s="120"/>
      <c r="R84" s="120"/>
      <c r="S84" s="120"/>
      <c r="T84" s="120"/>
      <c r="U84" s="120"/>
      <c r="V84" s="124"/>
      <c r="W84" s="2267"/>
      <c r="X84" s="246"/>
      <c r="Y84" s="246">
        <f>514.8468*0</f>
        <v>0</v>
      </c>
      <c r="Z84" s="246"/>
      <c r="AA84" s="246"/>
      <c r="AB84" s="246">
        <f>468.2412*0</f>
        <v>0</v>
      </c>
      <c r="AC84" s="458"/>
      <c r="AD84" s="343"/>
      <c r="AE84" s="427">
        <f t="shared" ref="AE84:AE89" si="8">6.02/100*Y84+4.03/100*AB84+6.89/100*AD84</f>
        <v>0</v>
      </c>
      <c r="AF84" s="650"/>
      <c r="AG84" s="651"/>
      <c r="AH84" s="644">
        <f>19.19/$AH$95/100*AB84</f>
        <v>0</v>
      </c>
      <c r="AI84" s="644"/>
      <c r="AJ84" s="644">
        <f>32.89/$AJ$95/100*Y84</f>
        <v>0</v>
      </c>
      <c r="AK84" s="644">
        <f>23.99/$AK$95/100*AB84</f>
        <v>0</v>
      </c>
      <c r="AL84" s="644"/>
      <c r="AM84" s="645">
        <f>61.09/$AM$95/100*Y84+52.78/$AM$95/100*AB84+93.11/100/$AM$95*AD84</f>
        <v>0</v>
      </c>
      <c r="AN84" s="352"/>
      <c r="AO84" s="215"/>
      <c r="AP84" s="348"/>
      <c r="AQ84" s="441"/>
      <c r="AR84" s="128"/>
      <c r="AS84" s="217">
        <f>Y84/100.4*0.4*1.03</f>
        <v>0</v>
      </c>
      <c r="AT84" s="2285"/>
      <c r="AU84" s="1083"/>
      <c r="AV84" s="144"/>
      <c r="AW84" s="677"/>
      <c r="AX84" s="683"/>
      <c r="AY84" s="677"/>
      <c r="AZ84" s="677"/>
      <c r="BA84" s="677"/>
      <c r="BB84" s="677"/>
      <c r="BC84" s="683"/>
      <c r="BD84" s="677"/>
      <c r="BE84" s="457"/>
      <c r="BF84" s="457"/>
      <c r="BG84" s="677"/>
      <c r="BH84" s="687"/>
      <c r="BI84" s="684"/>
      <c r="BJ84" s="684"/>
      <c r="BK84" s="684"/>
      <c r="BL84" s="685"/>
      <c r="BM84" s="144"/>
      <c r="BN84" s="684"/>
      <c r="BO84" s="684"/>
      <c r="BP84" s="685"/>
      <c r="BQ84" s="144"/>
      <c r="BR84" s="677"/>
      <c r="BS84" s="686"/>
      <c r="BT84" s="687"/>
      <c r="BU84" s="710"/>
      <c r="BV84" s="686"/>
      <c r="BW84" s="677"/>
      <c r="BX84" s="677"/>
      <c r="BY84" s="677"/>
      <c r="BZ84" s="687"/>
      <c r="CA84" s="153"/>
      <c r="CB84" s="137"/>
      <c r="CC84" s="2267"/>
      <c r="CD84" s="136"/>
      <c r="CE84" s="123"/>
      <c r="CF84" s="123"/>
      <c r="CG84" s="457"/>
      <c r="CH84" s="677"/>
      <c r="CI84" s="677"/>
      <c r="CJ84" s="677"/>
      <c r="CK84" s="677"/>
      <c r="CL84" s="677"/>
      <c r="CM84" s="677"/>
      <c r="CN84" s="677"/>
      <c r="CO84" s="677"/>
      <c r="CP84" s="677"/>
      <c r="CQ84" s="677"/>
      <c r="CR84" s="677"/>
      <c r="CS84" s="677"/>
      <c r="CT84" s="677"/>
      <c r="CU84" s="677"/>
      <c r="CV84" s="677"/>
      <c r="CW84" s="677"/>
      <c r="CX84" s="677"/>
      <c r="CY84" s="677"/>
      <c r="CZ84" s="677"/>
      <c r="DA84" s="677"/>
      <c r="DB84" s="677"/>
      <c r="DC84" s="677"/>
      <c r="DD84" s="677"/>
      <c r="DE84" s="677"/>
      <c r="DF84" s="677"/>
      <c r="DG84" s="688"/>
      <c r="DH84" s="688"/>
      <c r="DI84" s="677"/>
      <c r="DJ84" s="688"/>
      <c r="DK84" s="688"/>
      <c r="DL84" s="688"/>
      <c r="DM84" s="688"/>
      <c r="DN84" s="688"/>
      <c r="DO84" s="688"/>
      <c r="DP84" s="688"/>
      <c r="DQ84" s="769"/>
      <c r="DR84" s="927"/>
      <c r="DS84" s="688"/>
      <c r="DT84" s="683"/>
      <c r="DU84" s="144"/>
      <c r="DV84" s="687"/>
      <c r="DW84" s="934"/>
      <c r="DX84" s="644"/>
      <c r="DY84" s="644"/>
      <c r="DZ84" s="644"/>
      <c r="EA84" s="644"/>
      <c r="EB84" s="644"/>
      <c r="EC84" s="644"/>
      <c r="ED84" s="688"/>
      <c r="EE84" s="769"/>
      <c r="EF84" s="1083"/>
      <c r="EG84" s="687"/>
      <c r="EH84" s="1067"/>
      <c r="EI84" s="690"/>
      <c r="EJ84" s="690"/>
      <c r="EK84" s="690"/>
      <c r="EL84" s="690"/>
      <c r="EM84" s="690"/>
      <c r="EN84" s="690"/>
      <c r="EO84" s="690"/>
      <c r="EP84" s="690"/>
      <c r="EQ84" s="690"/>
      <c r="ER84" s="690"/>
      <c r="ES84" s="690"/>
      <c r="ET84" s="690"/>
      <c r="EU84" s="690"/>
      <c r="EV84" s="690"/>
      <c r="EW84" s="690"/>
      <c r="EX84" s="60"/>
      <c r="EY84" s="690"/>
      <c r="EZ84" s="690"/>
      <c r="FA84" s="474"/>
      <c r="FB84" s="690"/>
      <c r="FC84" s="56"/>
      <c r="FD84" s="56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807"/>
      <c r="GI84" s="807"/>
      <c r="GJ84" s="807"/>
      <c r="GK84" s="807"/>
      <c r="GL84" s="807"/>
      <c r="GM84" s="169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0"/>
      <c r="IG84" s="60"/>
      <c r="IH84" s="60"/>
      <c r="II84" s="60"/>
      <c r="IJ84" s="60"/>
      <c r="IK84" s="60"/>
      <c r="IL84" s="807"/>
      <c r="IM84" s="918"/>
      <c r="IN84" s="60"/>
      <c r="IO84" s="60"/>
      <c r="IP84" s="60"/>
      <c r="IQ84" s="58"/>
      <c r="IR84" s="58"/>
      <c r="IS84" s="58"/>
      <c r="IT84" s="58"/>
      <c r="IU84" s="58"/>
      <c r="IV84" s="58"/>
      <c r="IW84" s="58"/>
      <c r="IX84" s="58"/>
      <c r="IY84" s="58"/>
      <c r="IZ84" s="58"/>
      <c r="JA84" s="58"/>
      <c r="JB84" s="58"/>
      <c r="JC84" s="58"/>
      <c r="JD84" s="58"/>
      <c r="JE84" s="58"/>
      <c r="JF84" s="58"/>
      <c r="JG84" s="58"/>
      <c r="JH84" s="59"/>
      <c r="JI84" s="61"/>
      <c r="JJ84" s="58"/>
      <c r="JK84" s="58"/>
      <c r="JL84" s="58"/>
      <c r="JM84" s="61"/>
      <c r="JN84" s="169"/>
      <c r="JO84" s="61"/>
      <c r="JP84" s="62"/>
      <c r="JQ84" s="62"/>
      <c r="JR84" s="62"/>
      <c r="JS84" s="62"/>
      <c r="JT84" s="62"/>
      <c r="JU84" s="62"/>
      <c r="JV84" s="62"/>
      <c r="JW84" s="62"/>
      <c r="JX84" s="62"/>
      <c r="JY84" s="62"/>
      <c r="JZ84" s="62"/>
      <c r="KA84" s="62"/>
      <c r="KB84" s="62"/>
      <c r="KC84" s="62"/>
      <c r="KD84" s="18"/>
      <c r="KE84" s="18"/>
      <c r="KF84" s="1070"/>
      <c r="KI84" s="221"/>
    </row>
    <row r="85" spans="1:295" s="7" customFormat="1" ht="15.75" hidden="1" customHeight="1" x14ac:dyDescent="0.25">
      <c r="A85" s="357"/>
      <c r="B85" s="416" t="s">
        <v>576</v>
      </c>
      <c r="C85" s="762">
        <f>177714.1*0.29*0</f>
        <v>0</v>
      </c>
      <c r="D85" s="812">
        <f>C85/1.2</f>
        <v>0</v>
      </c>
      <c r="E85" s="2267"/>
      <c r="F85" s="680"/>
      <c r="G85" s="681"/>
      <c r="H85" s="682"/>
      <c r="I85" s="681"/>
      <c r="J85" s="681"/>
      <c r="K85" s="681"/>
      <c r="L85" s="120"/>
      <c r="M85" s="120"/>
      <c r="N85" s="150"/>
      <c r="O85" s="120"/>
      <c r="P85" s="120"/>
      <c r="Q85" s="120"/>
      <c r="R85" s="120"/>
      <c r="S85" s="120"/>
      <c r="T85" s="120"/>
      <c r="U85" s="120"/>
      <c r="V85" s="124"/>
      <c r="W85" s="2267"/>
      <c r="X85" s="246"/>
      <c r="Y85" s="246">
        <f>637.668*0</f>
        <v>0</v>
      </c>
      <c r="Z85" s="246"/>
      <c r="AA85" s="246"/>
      <c r="AB85" s="246"/>
      <c r="AC85" s="458"/>
      <c r="AD85" s="343"/>
      <c r="AE85" s="427">
        <f t="shared" si="8"/>
        <v>0</v>
      </c>
      <c r="AF85" s="650"/>
      <c r="AG85" s="651"/>
      <c r="AH85" s="644">
        <f>19.19/$AH$95/100*AB85</f>
        <v>0</v>
      </c>
      <c r="AI85" s="644"/>
      <c r="AJ85" s="644">
        <f>32.89/$AJ$95/100*Y85</f>
        <v>0</v>
      </c>
      <c r="AK85" s="644">
        <f>23.99/$AK$95/100*AB85</f>
        <v>0</v>
      </c>
      <c r="AL85" s="644"/>
      <c r="AM85" s="645">
        <f>61.09/$AM$95/100*Y85+52.78/$AM$95/100*AB85+93.11/100/$AM$95*AD85</f>
        <v>0</v>
      </c>
      <c r="AN85" s="692"/>
      <c r="AO85" s="216"/>
      <c r="AP85" s="693"/>
      <c r="AQ85" s="694"/>
      <c r="AR85" s="128"/>
      <c r="AS85" s="217">
        <f>1.755*0</f>
        <v>0</v>
      </c>
      <c r="AT85" s="2285"/>
      <c r="AU85" s="1083"/>
      <c r="AV85" s="144"/>
      <c r="AW85" s="677"/>
      <c r="AX85" s="683"/>
      <c r="AY85" s="677"/>
      <c r="AZ85" s="677"/>
      <c r="BA85" s="677"/>
      <c r="BB85" s="677"/>
      <c r="BC85" s="683"/>
      <c r="BD85" s="677"/>
      <c r="BE85" s="457"/>
      <c r="BF85" s="457"/>
      <c r="BG85" s="677"/>
      <c r="BH85" s="687"/>
      <c r="BI85" s="684"/>
      <c r="BJ85" s="684"/>
      <c r="BK85" s="684"/>
      <c r="BL85" s="685"/>
      <c r="BM85" s="144"/>
      <c r="BN85" s="684"/>
      <c r="BO85" s="684"/>
      <c r="BP85" s="685"/>
      <c r="BQ85" s="144"/>
      <c r="BR85" s="677"/>
      <c r="BS85" s="686"/>
      <c r="BT85" s="687"/>
      <c r="BU85" s="710"/>
      <c r="BV85" s="686"/>
      <c r="BW85" s="677"/>
      <c r="BX85" s="677"/>
      <c r="BY85" s="677"/>
      <c r="BZ85" s="687"/>
      <c r="CA85" s="153"/>
      <c r="CB85" s="137"/>
      <c r="CC85" s="2267"/>
      <c r="CD85" s="136"/>
      <c r="CE85" s="123"/>
      <c r="CF85" s="123"/>
      <c r="CG85" s="457"/>
      <c r="CH85" s="677"/>
      <c r="CI85" s="677"/>
      <c r="CJ85" s="677"/>
      <c r="CK85" s="677"/>
      <c r="CL85" s="677"/>
      <c r="CM85" s="677"/>
      <c r="CN85" s="677"/>
      <c r="CO85" s="677"/>
      <c r="CP85" s="677"/>
      <c r="CQ85" s="677"/>
      <c r="CR85" s="677"/>
      <c r="CS85" s="677"/>
      <c r="CT85" s="677"/>
      <c r="CU85" s="677"/>
      <c r="CV85" s="677"/>
      <c r="CW85" s="677"/>
      <c r="CX85" s="677"/>
      <c r="CY85" s="677"/>
      <c r="CZ85" s="677"/>
      <c r="DA85" s="677"/>
      <c r="DB85" s="677"/>
      <c r="DC85" s="677"/>
      <c r="DD85" s="677"/>
      <c r="DE85" s="677"/>
      <c r="DF85" s="677"/>
      <c r="DG85" s="688"/>
      <c r="DH85" s="688"/>
      <c r="DI85" s="677"/>
      <c r="DJ85" s="688"/>
      <c r="DK85" s="688"/>
      <c r="DL85" s="688"/>
      <c r="DM85" s="688"/>
      <c r="DN85" s="688"/>
      <c r="DO85" s="688"/>
      <c r="DP85" s="688"/>
      <c r="DQ85" s="769"/>
      <c r="DR85" s="927"/>
      <c r="DS85" s="688"/>
      <c r="DT85" s="683"/>
      <c r="DU85" s="144"/>
      <c r="DV85" s="687"/>
      <c r="DW85" s="934"/>
      <c r="DX85" s="644"/>
      <c r="DY85" s="690"/>
      <c r="DZ85" s="690"/>
      <c r="EA85" s="644"/>
      <c r="EB85" s="690"/>
      <c r="EC85" s="690"/>
      <c r="ED85" s="60"/>
      <c r="EE85" s="766"/>
      <c r="EF85" s="1083"/>
      <c r="EG85" s="687"/>
      <c r="EH85" s="918"/>
      <c r="EI85" s="690"/>
      <c r="EJ85" s="690"/>
      <c r="EK85" s="690"/>
      <c r="EL85" s="690"/>
      <c r="EM85" s="690"/>
      <c r="EN85" s="690"/>
      <c r="EO85" s="690"/>
      <c r="EP85" s="690"/>
      <c r="EQ85" s="690"/>
      <c r="ER85" s="690"/>
      <c r="ES85" s="690"/>
      <c r="ET85" s="690"/>
      <c r="EU85" s="690"/>
      <c r="EV85" s="690"/>
      <c r="EW85" s="690"/>
      <c r="EX85" s="60"/>
      <c r="EY85" s="690"/>
      <c r="EZ85" s="690"/>
      <c r="FA85" s="474"/>
      <c r="FB85" s="690"/>
      <c r="FC85" s="56"/>
      <c r="FD85" s="56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807"/>
      <c r="GI85" s="807"/>
      <c r="GJ85" s="807"/>
      <c r="GK85" s="807"/>
      <c r="GL85" s="807"/>
      <c r="GM85" s="169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60"/>
      <c r="IH85" s="60"/>
      <c r="II85" s="60"/>
      <c r="IJ85" s="60"/>
      <c r="IK85" s="60"/>
      <c r="IL85" s="807"/>
      <c r="IM85" s="918"/>
      <c r="IN85" s="60"/>
      <c r="IO85" s="60"/>
      <c r="IP85" s="60"/>
      <c r="IQ85" s="58"/>
      <c r="IR85" s="58"/>
      <c r="IS85" s="58"/>
      <c r="IT85" s="58"/>
      <c r="IU85" s="58"/>
      <c r="IV85" s="58"/>
      <c r="IW85" s="58"/>
      <c r="IX85" s="58"/>
      <c r="IY85" s="58"/>
      <c r="IZ85" s="58"/>
      <c r="JA85" s="58"/>
      <c r="JB85" s="58"/>
      <c r="JC85" s="58"/>
      <c r="JD85" s="58"/>
      <c r="JE85" s="58"/>
      <c r="JF85" s="58"/>
      <c r="JG85" s="58"/>
      <c r="JH85" s="59"/>
      <c r="JI85" s="61"/>
      <c r="JJ85" s="58"/>
      <c r="JK85" s="58"/>
      <c r="JL85" s="58"/>
      <c r="JM85" s="61"/>
      <c r="JN85" s="169"/>
      <c r="JO85" s="61"/>
      <c r="JP85" s="62"/>
      <c r="JQ85" s="62"/>
      <c r="JR85" s="62"/>
      <c r="JS85" s="62"/>
      <c r="JT85" s="62"/>
      <c r="JU85" s="62"/>
      <c r="JV85" s="62"/>
      <c r="JW85" s="62"/>
      <c r="JX85" s="62"/>
      <c r="JY85" s="62"/>
      <c r="JZ85" s="62"/>
      <c r="KA85" s="62"/>
      <c r="KB85" s="62"/>
      <c r="KC85" s="62"/>
      <c r="KD85" s="18"/>
      <c r="KE85" s="18"/>
      <c r="KF85" s="1070"/>
      <c r="KI85" s="221"/>
    </row>
    <row r="86" spans="1:295" s="7" customFormat="1" ht="25.5" hidden="1" customHeight="1" x14ac:dyDescent="0.25">
      <c r="A86" s="357"/>
      <c r="B86" s="416" t="s">
        <v>571</v>
      </c>
      <c r="C86" s="762">
        <f>10842.92*0.8*0</f>
        <v>0</v>
      </c>
      <c r="D86" s="812">
        <f>C86</f>
        <v>0</v>
      </c>
      <c r="E86" s="2267"/>
      <c r="F86" s="346"/>
      <c r="G86" s="681"/>
      <c r="H86" s="682"/>
      <c r="I86" s="681"/>
      <c r="J86" s="863"/>
      <c r="K86" s="681"/>
      <c r="L86" s="120"/>
      <c r="M86" s="120"/>
      <c r="N86" s="150"/>
      <c r="O86" s="120"/>
      <c r="P86" s="120"/>
      <c r="Q86" s="120"/>
      <c r="R86" s="120"/>
      <c r="S86" s="120"/>
      <c r="T86" s="120"/>
      <c r="U86" s="120"/>
      <c r="V86" s="124"/>
      <c r="W86" s="2267"/>
      <c r="X86" s="246"/>
      <c r="Y86" s="245"/>
      <c r="Z86" s="245"/>
      <c r="AA86" s="245"/>
      <c r="AB86" s="245"/>
      <c r="AC86" s="457"/>
      <c r="AD86" s="342"/>
      <c r="AE86" s="427"/>
      <c r="AF86" s="650"/>
      <c r="AG86" s="651"/>
      <c r="AH86" s="644"/>
      <c r="AI86" s="644"/>
      <c r="AJ86" s="644"/>
      <c r="AK86" s="644"/>
      <c r="AL86" s="644"/>
      <c r="AM86" s="645"/>
      <c r="AN86" s="353"/>
      <c r="AO86" s="215"/>
      <c r="AP86" s="349"/>
      <c r="AQ86" s="441"/>
      <c r="AR86" s="126"/>
      <c r="AS86" s="228"/>
      <c r="AT86" s="2285"/>
      <c r="AU86" s="1083"/>
      <c r="AV86" s="144"/>
      <c r="AW86" s="677"/>
      <c r="AX86" s="683"/>
      <c r="AY86" s="677"/>
      <c r="AZ86" s="677"/>
      <c r="BA86" s="677"/>
      <c r="BB86" s="677"/>
      <c r="BC86" s="683"/>
      <c r="BD86" s="677"/>
      <c r="BE86" s="457"/>
      <c r="BF86" s="457"/>
      <c r="BG86" s="677"/>
      <c r="BH86" s="687"/>
      <c r="BI86" s="684"/>
      <c r="BJ86" s="684"/>
      <c r="BK86" s="684"/>
      <c r="BL86" s="685"/>
      <c r="BM86" s="144"/>
      <c r="BN86" s="684"/>
      <c r="BO86" s="684"/>
      <c r="BP86" s="685"/>
      <c r="BQ86" s="144"/>
      <c r="BR86" s="677">
        <f>69.341*0</f>
        <v>0</v>
      </c>
      <c r="BS86" s="686"/>
      <c r="BT86" s="687">
        <f>250.149*0</f>
        <v>0</v>
      </c>
      <c r="BU86" s="710"/>
      <c r="BV86" s="686"/>
      <c r="BW86" s="677"/>
      <c r="BX86" s="677"/>
      <c r="BY86" s="677"/>
      <c r="BZ86" s="687"/>
      <c r="CA86" s="153"/>
      <c r="CB86" s="137"/>
      <c r="CC86" s="2267"/>
      <c r="CD86" s="136"/>
      <c r="CE86" s="123"/>
      <c r="CF86" s="123"/>
      <c r="CG86" s="457"/>
      <c r="CH86" s="677"/>
      <c r="CI86" s="677"/>
      <c r="CJ86" s="677"/>
      <c r="CK86" s="677"/>
      <c r="CL86" s="677"/>
      <c r="CM86" s="677"/>
      <c r="CN86" s="677"/>
      <c r="CO86" s="677"/>
      <c r="CP86" s="677"/>
      <c r="CQ86" s="677"/>
      <c r="CR86" s="677"/>
      <c r="CS86" s="677"/>
      <c r="CT86" s="677"/>
      <c r="CU86" s="677"/>
      <c r="CV86" s="677"/>
      <c r="CW86" s="677"/>
      <c r="CX86" s="677"/>
      <c r="CY86" s="677"/>
      <c r="CZ86" s="677"/>
      <c r="DA86" s="677"/>
      <c r="DB86" s="677"/>
      <c r="DC86" s="677"/>
      <c r="DD86" s="677"/>
      <c r="DE86" s="677"/>
      <c r="DF86" s="677"/>
      <c r="DG86" s="688"/>
      <c r="DH86" s="688"/>
      <c r="DI86" s="677"/>
      <c r="DJ86" s="688"/>
      <c r="DK86" s="688"/>
      <c r="DL86" s="688"/>
      <c r="DM86" s="688"/>
      <c r="DN86" s="688"/>
      <c r="DO86" s="688"/>
      <c r="DP86" s="688"/>
      <c r="DQ86" s="769"/>
      <c r="DR86" s="924"/>
      <c r="DS86" s="60"/>
      <c r="DT86" s="140"/>
      <c r="DU86" s="144"/>
      <c r="DV86" s="687"/>
      <c r="DW86" s="932"/>
      <c r="DX86" s="690"/>
      <c r="DY86" s="690"/>
      <c r="DZ86" s="690"/>
      <c r="EA86" s="690"/>
      <c r="EB86" s="690"/>
      <c r="EC86" s="690"/>
      <c r="ED86" s="60"/>
      <c r="EE86" s="766"/>
      <c r="EF86" s="152"/>
      <c r="EG86" s="135"/>
      <c r="EH86" s="918"/>
      <c r="EI86" s="690"/>
      <c r="EJ86" s="690"/>
      <c r="EK86" s="690"/>
      <c r="EL86" s="690"/>
      <c r="EM86" s="690"/>
      <c r="EN86" s="690"/>
      <c r="EO86" s="690"/>
      <c r="EP86" s="690"/>
      <c r="EQ86" s="690"/>
      <c r="ER86" s="690"/>
      <c r="ES86" s="690"/>
      <c r="ET86" s="690"/>
      <c r="EU86" s="690"/>
      <c r="EV86" s="690"/>
      <c r="EW86" s="690"/>
      <c r="EX86" s="60"/>
      <c r="EY86" s="690"/>
      <c r="EZ86" s="690"/>
      <c r="FA86" s="474"/>
      <c r="FB86" s="690"/>
      <c r="FC86" s="56"/>
      <c r="FD86" s="56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807"/>
      <c r="GI86" s="807"/>
      <c r="GJ86" s="807"/>
      <c r="GK86" s="807"/>
      <c r="GL86" s="807"/>
      <c r="GM86" s="169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0"/>
      <c r="IG86" s="60"/>
      <c r="IH86" s="60"/>
      <c r="II86" s="60"/>
      <c r="IJ86" s="60"/>
      <c r="IK86" s="60"/>
      <c r="IL86" s="807"/>
      <c r="IM86" s="918"/>
      <c r="IN86" s="60"/>
      <c r="IO86" s="60"/>
      <c r="IP86" s="60"/>
      <c r="IQ86" s="58"/>
      <c r="IR86" s="58"/>
      <c r="IS86" s="58"/>
      <c r="IT86" s="58"/>
      <c r="IU86" s="58"/>
      <c r="IV86" s="58"/>
      <c r="IW86" s="58"/>
      <c r="IX86" s="58"/>
      <c r="IY86" s="58"/>
      <c r="IZ86" s="58"/>
      <c r="JA86" s="58"/>
      <c r="JB86" s="58"/>
      <c r="JC86" s="58"/>
      <c r="JD86" s="58"/>
      <c r="JE86" s="58"/>
      <c r="JF86" s="58"/>
      <c r="JG86" s="58"/>
      <c r="JH86" s="59"/>
      <c r="JI86" s="61"/>
      <c r="JJ86" s="58"/>
      <c r="JK86" s="58"/>
      <c r="JL86" s="58"/>
      <c r="JM86" s="61"/>
      <c r="JN86" s="169"/>
      <c r="JO86" s="61"/>
      <c r="JP86" s="62"/>
      <c r="JQ86" s="62"/>
      <c r="JR86" s="62"/>
      <c r="JS86" s="62"/>
      <c r="JT86" s="62"/>
      <c r="JU86" s="62"/>
      <c r="JV86" s="62"/>
      <c r="JW86" s="62"/>
      <c r="JX86" s="62"/>
      <c r="JY86" s="62"/>
      <c r="JZ86" s="62"/>
      <c r="KA86" s="62"/>
      <c r="KB86" s="62"/>
      <c r="KC86" s="62"/>
      <c r="KD86" s="18"/>
      <c r="KE86" s="18"/>
      <c r="KF86" s="1070"/>
      <c r="KI86" s="221"/>
    </row>
    <row r="87" spans="1:295" s="7" customFormat="1" ht="15.75" hidden="1" customHeight="1" x14ac:dyDescent="0.25">
      <c r="A87" s="357"/>
      <c r="B87" s="416" t="s">
        <v>570</v>
      </c>
      <c r="C87" s="762">
        <f>4139.86*0.8*0</f>
        <v>0</v>
      </c>
      <c r="D87" s="812">
        <f t="shared" ref="D87:D89" si="9">C87</f>
        <v>0</v>
      </c>
      <c r="E87" s="2267"/>
      <c r="F87" s="346"/>
      <c r="G87" s="681"/>
      <c r="H87" s="682"/>
      <c r="I87" s="681"/>
      <c r="J87" s="863"/>
      <c r="K87" s="681"/>
      <c r="L87" s="120"/>
      <c r="M87" s="120"/>
      <c r="N87" s="150"/>
      <c r="O87" s="120"/>
      <c r="P87" s="120"/>
      <c r="Q87" s="120"/>
      <c r="R87" s="120"/>
      <c r="S87" s="120"/>
      <c r="T87" s="120"/>
      <c r="U87" s="120"/>
      <c r="V87" s="124"/>
      <c r="W87" s="2267"/>
      <c r="X87" s="246"/>
      <c r="Y87" s="245"/>
      <c r="Z87" s="245"/>
      <c r="AA87" s="245"/>
      <c r="AB87" s="245"/>
      <c r="AC87" s="457"/>
      <c r="AD87" s="342"/>
      <c r="AE87" s="427"/>
      <c r="AF87" s="650"/>
      <c r="AG87" s="651"/>
      <c r="AH87" s="644"/>
      <c r="AI87" s="644"/>
      <c r="AJ87" s="644"/>
      <c r="AK87" s="644"/>
      <c r="AL87" s="644"/>
      <c r="AM87" s="645"/>
      <c r="AN87" s="353"/>
      <c r="AO87" s="215"/>
      <c r="AP87" s="349"/>
      <c r="AQ87" s="441"/>
      <c r="AR87" s="126"/>
      <c r="AS87" s="228"/>
      <c r="AT87" s="2285"/>
      <c r="AU87" s="1083"/>
      <c r="AV87" s="144"/>
      <c r="AW87" s="677"/>
      <c r="AX87" s="683"/>
      <c r="AY87" s="677"/>
      <c r="AZ87" s="677"/>
      <c r="BA87" s="677"/>
      <c r="BB87" s="677"/>
      <c r="BC87" s="683"/>
      <c r="BD87" s="677"/>
      <c r="BE87" s="457"/>
      <c r="BF87" s="457"/>
      <c r="BG87" s="677"/>
      <c r="BH87" s="687"/>
      <c r="BI87" s="684"/>
      <c r="BJ87" s="684"/>
      <c r="BK87" s="684"/>
      <c r="BL87" s="685"/>
      <c r="BM87" s="144"/>
      <c r="BN87" s="684"/>
      <c r="BO87" s="684"/>
      <c r="BP87" s="685"/>
      <c r="BQ87" s="144"/>
      <c r="BR87" s="677">
        <f>25.894*0</f>
        <v>0</v>
      </c>
      <c r="BS87" s="686"/>
      <c r="BT87" s="687">
        <f>93.415*0</f>
        <v>0</v>
      </c>
      <c r="BU87" s="710"/>
      <c r="BV87" s="686"/>
      <c r="BW87" s="677"/>
      <c r="BX87" s="677"/>
      <c r="BY87" s="677"/>
      <c r="BZ87" s="687"/>
      <c r="CA87" s="153"/>
      <c r="CB87" s="137"/>
      <c r="CC87" s="2267"/>
      <c r="CD87" s="136"/>
      <c r="CE87" s="123"/>
      <c r="CF87" s="123"/>
      <c r="CG87" s="457"/>
      <c r="CH87" s="677"/>
      <c r="CI87" s="677"/>
      <c r="CJ87" s="677"/>
      <c r="CK87" s="677"/>
      <c r="CL87" s="677"/>
      <c r="CM87" s="677"/>
      <c r="CN87" s="677"/>
      <c r="CO87" s="677"/>
      <c r="CP87" s="677"/>
      <c r="CQ87" s="677"/>
      <c r="CR87" s="677"/>
      <c r="CS87" s="677"/>
      <c r="CT87" s="677"/>
      <c r="CU87" s="677"/>
      <c r="CV87" s="677"/>
      <c r="CW87" s="677"/>
      <c r="CX87" s="677"/>
      <c r="CY87" s="677"/>
      <c r="CZ87" s="677"/>
      <c r="DA87" s="677"/>
      <c r="DB87" s="677"/>
      <c r="DC87" s="677"/>
      <c r="DD87" s="677"/>
      <c r="DE87" s="677"/>
      <c r="DF87" s="677"/>
      <c r="DG87" s="688"/>
      <c r="DH87" s="688"/>
      <c r="DI87" s="677"/>
      <c r="DJ87" s="688"/>
      <c r="DK87" s="688"/>
      <c r="DL87" s="688"/>
      <c r="DM87" s="688"/>
      <c r="DN87" s="688"/>
      <c r="DO87" s="688"/>
      <c r="DP87" s="688"/>
      <c r="DQ87" s="769"/>
      <c r="DR87" s="924"/>
      <c r="DS87" s="60"/>
      <c r="DT87" s="140"/>
      <c r="DU87" s="144"/>
      <c r="DV87" s="687"/>
      <c r="DW87" s="932"/>
      <c r="DX87" s="690"/>
      <c r="DY87" s="690"/>
      <c r="DZ87" s="690"/>
      <c r="EA87" s="690"/>
      <c r="EB87" s="690"/>
      <c r="EC87" s="690"/>
      <c r="ED87" s="60"/>
      <c r="EE87" s="766"/>
      <c r="EF87" s="152"/>
      <c r="EG87" s="135"/>
      <c r="EH87" s="918"/>
      <c r="EI87" s="690"/>
      <c r="EJ87" s="690"/>
      <c r="EK87" s="690"/>
      <c r="EL87" s="690"/>
      <c r="EM87" s="690"/>
      <c r="EN87" s="690"/>
      <c r="EO87" s="690"/>
      <c r="EP87" s="690"/>
      <c r="EQ87" s="690"/>
      <c r="ER87" s="690"/>
      <c r="ES87" s="690"/>
      <c r="ET87" s="690"/>
      <c r="EU87" s="690"/>
      <c r="EV87" s="690"/>
      <c r="EW87" s="690"/>
      <c r="EX87" s="60"/>
      <c r="EY87" s="690"/>
      <c r="EZ87" s="690"/>
      <c r="FA87" s="474"/>
      <c r="FB87" s="690"/>
      <c r="FC87" s="56"/>
      <c r="FD87" s="56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807"/>
      <c r="GI87" s="807"/>
      <c r="GJ87" s="807"/>
      <c r="GK87" s="807"/>
      <c r="GL87" s="807"/>
      <c r="GM87" s="169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0"/>
      <c r="IG87" s="60"/>
      <c r="IH87" s="60"/>
      <c r="II87" s="60"/>
      <c r="IJ87" s="60"/>
      <c r="IK87" s="60"/>
      <c r="IL87" s="807"/>
      <c r="IM87" s="918"/>
      <c r="IN87" s="60"/>
      <c r="IO87" s="60"/>
      <c r="IP87" s="60"/>
      <c r="IQ87" s="58"/>
      <c r="IR87" s="58"/>
      <c r="IS87" s="58"/>
      <c r="IT87" s="58"/>
      <c r="IU87" s="58"/>
      <c r="IV87" s="58"/>
      <c r="IW87" s="58"/>
      <c r="IX87" s="58"/>
      <c r="IY87" s="58"/>
      <c r="IZ87" s="58"/>
      <c r="JA87" s="58"/>
      <c r="JB87" s="58"/>
      <c r="JC87" s="58"/>
      <c r="JD87" s="58"/>
      <c r="JE87" s="58"/>
      <c r="JF87" s="58"/>
      <c r="JG87" s="58"/>
      <c r="JH87" s="59"/>
      <c r="JI87" s="61"/>
      <c r="JJ87" s="58"/>
      <c r="JK87" s="58"/>
      <c r="JL87" s="58"/>
      <c r="JM87" s="61"/>
      <c r="JN87" s="169"/>
      <c r="JO87" s="61"/>
      <c r="JP87" s="62"/>
      <c r="JQ87" s="62"/>
      <c r="JR87" s="62"/>
      <c r="JS87" s="62"/>
      <c r="JT87" s="62"/>
      <c r="JU87" s="62"/>
      <c r="JV87" s="62"/>
      <c r="JW87" s="62"/>
      <c r="JX87" s="62"/>
      <c r="JY87" s="62"/>
      <c r="JZ87" s="62"/>
      <c r="KA87" s="62"/>
      <c r="KB87" s="62"/>
      <c r="KC87" s="62"/>
      <c r="KD87" s="18"/>
      <c r="KE87" s="18"/>
      <c r="KF87" s="1070"/>
      <c r="KI87" s="221"/>
    </row>
    <row r="88" spans="1:295" s="7" customFormat="1" ht="15.75" hidden="1" customHeight="1" x14ac:dyDescent="0.25">
      <c r="A88" s="357"/>
      <c r="B88" s="416"/>
      <c r="C88" s="762"/>
      <c r="D88" s="812">
        <f t="shared" si="9"/>
        <v>0</v>
      </c>
      <c r="E88" s="2267"/>
      <c r="F88" s="346"/>
      <c r="G88" s="681"/>
      <c r="H88" s="682"/>
      <c r="I88" s="681"/>
      <c r="J88" s="863"/>
      <c r="K88" s="681"/>
      <c r="L88" s="120"/>
      <c r="M88" s="120"/>
      <c r="N88" s="150"/>
      <c r="O88" s="120"/>
      <c r="P88" s="120"/>
      <c r="Q88" s="120"/>
      <c r="R88" s="120"/>
      <c r="S88" s="120"/>
      <c r="T88" s="120"/>
      <c r="U88" s="120"/>
      <c r="V88" s="124"/>
      <c r="W88" s="2267"/>
      <c r="X88" s="246"/>
      <c r="Y88" s="245"/>
      <c r="Z88" s="245"/>
      <c r="AA88" s="245"/>
      <c r="AB88" s="245"/>
      <c r="AC88" s="457"/>
      <c r="AD88" s="342"/>
      <c r="AE88" s="427"/>
      <c r="AF88" s="650"/>
      <c r="AG88" s="651"/>
      <c r="AH88" s="644"/>
      <c r="AI88" s="644"/>
      <c r="AJ88" s="644"/>
      <c r="AK88" s="644"/>
      <c r="AL88" s="644"/>
      <c r="AM88" s="645"/>
      <c r="AN88" s="353"/>
      <c r="AO88" s="215"/>
      <c r="AP88" s="349"/>
      <c r="AQ88" s="441"/>
      <c r="AR88" s="126"/>
      <c r="AS88" s="228"/>
      <c r="AT88" s="2285"/>
      <c r="AU88" s="1083"/>
      <c r="AV88" s="144"/>
      <c r="AW88" s="677"/>
      <c r="AX88" s="683"/>
      <c r="AY88" s="677"/>
      <c r="AZ88" s="677"/>
      <c r="BA88" s="677"/>
      <c r="BB88" s="677"/>
      <c r="BC88" s="683"/>
      <c r="BD88" s="677"/>
      <c r="BE88" s="457"/>
      <c r="BF88" s="457"/>
      <c r="BG88" s="677"/>
      <c r="BH88" s="687"/>
      <c r="BI88" s="684"/>
      <c r="BJ88" s="684"/>
      <c r="BK88" s="684"/>
      <c r="BL88" s="685"/>
      <c r="BM88" s="144"/>
      <c r="BN88" s="684"/>
      <c r="BO88" s="684"/>
      <c r="BP88" s="685"/>
      <c r="BQ88" s="144"/>
      <c r="BR88" s="677"/>
      <c r="BS88" s="686"/>
      <c r="BT88" s="687"/>
      <c r="BU88" s="710"/>
      <c r="BV88" s="686"/>
      <c r="BW88" s="677"/>
      <c r="BX88" s="677"/>
      <c r="BY88" s="677"/>
      <c r="BZ88" s="687"/>
      <c r="CA88" s="153"/>
      <c r="CB88" s="137"/>
      <c r="CC88" s="2267"/>
      <c r="CD88" s="136"/>
      <c r="CE88" s="123"/>
      <c r="CF88" s="123"/>
      <c r="CG88" s="457"/>
      <c r="CH88" s="677"/>
      <c r="CI88" s="677"/>
      <c r="CJ88" s="677"/>
      <c r="CK88" s="677"/>
      <c r="CL88" s="677"/>
      <c r="CM88" s="677"/>
      <c r="CN88" s="677"/>
      <c r="CO88" s="677"/>
      <c r="CP88" s="677"/>
      <c r="CQ88" s="677"/>
      <c r="CR88" s="677"/>
      <c r="CS88" s="677"/>
      <c r="CT88" s="677"/>
      <c r="CU88" s="677"/>
      <c r="CV88" s="677"/>
      <c r="CW88" s="677"/>
      <c r="CX88" s="677"/>
      <c r="CY88" s="677"/>
      <c r="CZ88" s="677"/>
      <c r="DA88" s="677"/>
      <c r="DB88" s="677"/>
      <c r="DC88" s="677"/>
      <c r="DD88" s="56"/>
      <c r="DE88" s="56"/>
      <c r="DF88" s="56"/>
      <c r="DG88" s="60"/>
      <c r="DH88" s="60"/>
      <c r="DI88" s="123"/>
      <c r="DJ88" s="531"/>
      <c r="DK88" s="531"/>
      <c r="DL88" s="531"/>
      <c r="DM88" s="531"/>
      <c r="DN88" s="531"/>
      <c r="DO88" s="531"/>
      <c r="DP88" s="531"/>
      <c r="DQ88" s="770"/>
      <c r="DR88" s="924"/>
      <c r="DS88" s="60"/>
      <c r="DT88" s="140"/>
      <c r="DU88" s="144"/>
      <c r="DV88" s="687"/>
      <c r="DW88" s="932"/>
      <c r="DX88" s="690"/>
      <c r="DY88" s="690"/>
      <c r="DZ88" s="690"/>
      <c r="EA88" s="690"/>
      <c r="EB88" s="690"/>
      <c r="EC88" s="690"/>
      <c r="ED88" s="60"/>
      <c r="EE88" s="766"/>
      <c r="EF88" s="152"/>
      <c r="EG88" s="135"/>
      <c r="EH88" s="918"/>
      <c r="EI88" s="690"/>
      <c r="EJ88" s="690"/>
      <c r="EK88" s="690"/>
      <c r="EL88" s="690"/>
      <c r="EM88" s="690"/>
      <c r="EN88" s="690"/>
      <c r="EO88" s="690"/>
      <c r="EP88" s="690"/>
      <c r="EQ88" s="690"/>
      <c r="ER88" s="690"/>
      <c r="ES88" s="690"/>
      <c r="ET88" s="690"/>
      <c r="EU88" s="690"/>
      <c r="EV88" s="690"/>
      <c r="EW88" s="690"/>
      <c r="EX88" s="60"/>
      <c r="EY88" s="690"/>
      <c r="EZ88" s="690"/>
      <c r="FA88" s="474"/>
      <c r="FB88" s="690"/>
      <c r="FC88" s="56"/>
      <c r="FD88" s="56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807"/>
      <c r="GI88" s="807"/>
      <c r="GJ88" s="807"/>
      <c r="GK88" s="807"/>
      <c r="GL88" s="807"/>
      <c r="GM88" s="169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0"/>
      <c r="IG88" s="60"/>
      <c r="IH88" s="60"/>
      <c r="II88" s="60"/>
      <c r="IJ88" s="60"/>
      <c r="IK88" s="60"/>
      <c r="IL88" s="807"/>
      <c r="IM88" s="918"/>
      <c r="IN88" s="60"/>
      <c r="IO88" s="60"/>
      <c r="IP88" s="60"/>
      <c r="IQ88" s="58"/>
      <c r="IR88" s="58"/>
      <c r="IS88" s="58"/>
      <c r="IT88" s="58"/>
      <c r="IU88" s="58"/>
      <c r="IV88" s="58"/>
      <c r="IW88" s="58"/>
      <c r="IX88" s="58"/>
      <c r="IY88" s="58"/>
      <c r="IZ88" s="58"/>
      <c r="JA88" s="58"/>
      <c r="JB88" s="58"/>
      <c r="JC88" s="58"/>
      <c r="JD88" s="58"/>
      <c r="JE88" s="58"/>
      <c r="JF88" s="58"/>
      <c r="JG88" s="58"/>
      <c r="JH88" s="59"/>
      <c r="JI88" s="61"/>
      <c r="JJ88" s="58"/>
      <c r="JK88" s="58"/>
      <c r="JL88" s="58"/>
      <c r="JM88" s="61"/>
      <c r="JN88" s="169"/>
      <c r="JO88" s="61"/>
      <c r="JP88" s="62"/>
      <c r="JQ88" s="62"/>
      <c r="JR88" s="62"/>
      <c r="JS88" s="62"/>
      <c r="JT88" s="62"/>
      <c r="JU88" s="62"/>
      <c r="JV88" s="62"/>
      <c r="JW88" s="62"/>
      <c r="JX88" s="62"/>
      <c r="JY88" s="62"/>
      <c r="JZ88" s="62"/>
      <c r="KA88" s="62"/>
      <c r="KB88" s="62"/>
      <c r="KC88" s="62"/>
      <c r="KD88" s="18"/>
      <c r="KE88" s="18"/>
      <c r="KF88" s="1070"/>
      <c r="KI88" s="221"/>
    </row>
    <row r="89" spans="1:295" s="7" customFormat="1" ht="15.75" hidden="1" customHeight="1" x14ac:dyDescent="0.25">
      <c r="A89" s="357"/>
      <c r="B89" s="416"/>
      <c r="C89" s="762"/>
      <c r="D89" s="812">
        <f t="shared" si="9"/>
        <v>0</v>
      </c>
      <c r="E89" s="2267"/>
      <c r="F89" s="346"/>
      <c r="G89" s="681"/>
      <c r="H89" s="682"/>
      <c r="I89" s="681"/>
      <c r="J89" s="863"/>
      <c r="K89" s="681"/>
      <c r="L89" s="120"/>
      <c r="M89" s="120"/>
      <c r="N89" s="150"/>
      <c r="O89" s="120"/>
      <c r="P89" s="120"/>
      <c r="Q89" s="120"/>
      <c r="R89" s="120"/>
      <c r="S89" s="120"/>
      <c r="T89" s="120"/>
      <c r="U89" s="120"/>
      <c r="V89" s="124"/>
      <c r="W89" s="2267"/>
      <c r="X89" s="246"/>
      <c r="Y89" s="245"/>
      <c r="Z89" s="245"/>
      <c r="AA89" s="245"/>
      <c r="AB89" s="245"/>
      <c r="AC89" s="457"/>
      <c r="AD89" s="342"/>
      <c r="AE89" s="427">
        <f t="shared" si="8"/>
        <v>0</v>
      </c>
      <c r="AF89" s="650"/>
      <c r="AG89" s="651"/>
      <c r="AH89" s="644">
        <f>19.19/$AH$95/100*AB89</f>
        <v>0</v>
      </c>
      <c r="AI89" s="644"/>
      <c r="AJ89" s="644">
        <f>32.89/$AJ$95/100*Y89</f>
        <v>0</v>
      </c>
      <c r="AK89" s="644">
        <f>23.99/$AK$95/100*AB89</f>
        <v>0</v>
      </c>
      <c r="AL89" s="644"/>
      <c r="AM89" s="645">
        <f>61.09/$AM$95/100*Y89+52.78/$AM$95/100*AB89+93.11/100/$AM$95*AD89</f>
        <v>0</v>
      </c>
      <c r="AN89" s="353"/>
      <c r="AO89" s="215"/>
      <c r="AP89" s="349"/>
      <c r="AQ89" s="441"/>
      <c r="AR89" s="126"/>
      <c r="AS89" s="228"/>
      <c r="AT89" s="2285"/>
      <c r="AU89" s="1083"/>
      <c r="AV89" s="144"/>
      <c r="AW89" s="677"/>
      <c r="AX89" s="683"/>
      <c r="AY89" s="677"/>
      <c r="AZ89" s="677"/>
      <c r="BA89" s="677"/>
      <c r="BB89" s="677"/>
      <c r="BC89" s="683"/>
      <c r="BD89" s="677"/>
      <c r="BE89" s="457"/>
      <c r="BF89" s="457"/>
      <c r="BG89" s="677"/>
      <c r="BH89" s="687"/>
      <c r="BI89" s="684"/>
      <c r="BJ89" s="684"/>
      <c r="BK89" s="684"/>
      <c r="BL89" s="685"/>
      <c r="BM89" s="144"/>
      <c r="BN89" s="684"/>
      <c r="BO89" s="684"/>
      <c r="BP89" s="685"/>
      <c r="BQ89" s="144"/>
      <c r="BR89" s="677"/>
      <c r="BS89" s="686"/>
      <c r="BT89" s="687"/>
      <c r="BU89" s="710"/>
      <c r="BV89" s="686"/>
      <c r="BW89" s="677"/>
      <c r="BX89" s="677"/>
      <c r="BY89" s="677"/>
      <c r="BZ89" s="687"/>
      <c r="CA89" s="153"/>
      <c r="CB89" s="137"/>
      <c r="CC89" s="2267"/>
      <c r="CD89" s="136"/>
      <c r="CE89" s="123"/>
      <c r="CF89" s="123"/>
      <c r="CG89" s="457"/>
      <c r="CH89" s="677"/>
      <c r="CI89" s="677"/>
      <c r="CJ89" s="677"/>
      <c r="CK89" s="677"/>
      <c r="CL89" s="677"/>
      <c r="CM89" s="677"/>
      <c r="CN89" s="677"/>
      <c r="CO89" s="677"/>
      <c r="CP89" s="677"/>
      <c r="CQ89" s="677"/>
      <c r="CR89" s="677"/>
      <c r="CS89" s="677"/>
      <c r="CT89" s="677"/>
      <c r="CU89" s="677"/>
      <c r="CV89" s="677"/>
      <c r="CW89" s="677"/>
      <c r="CX89" s="677"/>
      <c r="CY89" s="677"/>
      <c r="CZ89" s="677"/>
      <c r="DA89" s="677"/>
      <c r="DB89" s="677"/>
      <c r="DC89" s="677"/>
      <c r="DD89" s="677"/>
      <c r="DE89" s="677"/>
      <c r="DF89" s="677"/>
      <c r="DG89" s="688"/>
      <c r="DH89" s="688"/>
      <c r="DI89" s="123"/>
      <c r="DJ89" s="531"/>
      <c r="DK89" s="531"/>
      <c r="DL89" s="531"/>
      <c r="DM89" s="531"/>
      <c r="DN89" s="531"/>
      <c r="DO89" s="531"/>
      <c r="DP89" s="531"/>
      <c r="DQ89" s="770"/>
      <c r="DR89" s="924"/>
      <c r="DS89" s="60"/>
      <c r="DT89" s="140"/>
      <c r="DU89" s="144"/>
      <c r="DV89" s="687"/>
      <c r="DW89" s="932"/>
      <c r="DX89" s="690"/>
      <c r="DY89" s="690"/>
      <c r="DZ89" s="690"/>
      <c r="EA89" s="690"/>
      <c r="EB89" s="690"/>
      <c r="EC89" s="690"/>
      <c r="ED89" s="60"/>
      <c r="EE89" s="766"/>
      <c r="EF89" s="152"/>
      <c r="EG89" s="135"/>
      <c r="EH89" s="918"/>
      <c r="EI89" s="690"/>
      <c r="EJ89" s="690"/>
      <c r="EK89" s="690"/>
      <c r="EL89" s="690"/>
      <c r="EM89" s="690"/>
      <c r="EN89" s="690"/>
      <c r="EO89" s="690"/>
      <c r="EP89" s="690"/>
      <c r="EQ89" s="690"/>
      <c r="ER89" s="690"/>
      <c r="ES89" s="690"/>
      <c r="ET89" s="690"/>
      <c r="EU89" s="690"/>
      <c r="EV89" s="690"/>
      <c r="EW89" s="690"/>
      <c r="EX89" s="60"/>
      <c r="EY89" s="690"/>
      <c r="EZ89" s="690"/>
      <c r="FA89" s="474"/>
      <c r="FB89" s="690"/>
      <c r="FC89" s="56"/>
      <c r="FD89" s="56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807"/>
      <c r="GI89" s="807"/>
      <c r="GJ89" s="807"/>
      <c r="GK89" s="807"/>
      <c r="GL89" s="807"/>
      <c r="GM89" s="169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0"/>
      <c r="HC89" s="60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0"/>
      <c r="HR89" s="60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0"/>
      <c r="IG89" s="60"/>
      <c r="IH89" s="60"/>
      <c r="II89" s="60"/>
      <c r="IJ89" s="60"/>
      <c r="IK89" s="60"/>
      <c r="IL89" s="807"/>
      <c r="IM89" s="918"/>
      <c r="IN89" s="60"/>
      <c r="IO89" s="60"/>
      <c r="IP89" s="60"/>
      <c r="IQ89" s="58"/>
      <c r="IR89" s="58"/>
      <c r="IS89" s="58"/>
      <c r="IT89" s="58"/>
      <c r="IU89" s="58"/>
      <c r="IV89" s="58"/>
      <c r="IW89" s="58"/>
      <c r="IX89" s="58"/>
      <c r="IY89" s="58"/>
      <c r="IZ89" s="58"/>
      <c r="JA89" s="58"/>
      <c r="JB89" s="58"/>
      <c r="JC89" s="58"/>
      <c r="JD89" s="58"/>
      <c r="JE89" s="58"/>
      <c r="JF89" s="58"/>
      <c r="JG89" s="58"/>
      <c r="JH89" s="59"/>
      <c r="JI89" s="61"/>
      <c r="JJ89" s="58"/>
      <c r="JK89" s="58"/>
      <c r="JL89" s="58"/>
      <c r="JM89" s="61"/>
      <c r="JN89" s="169"/>
      <c r="JO89" s="61"/>
      <c r="JP89" s="62"/>
      <c r="JQ89" s="62"/>
      <c r="JR89" s="62"/>
      <c r="JS89" s="62"/>
      <c r="JT89" s="62"/>
      <c r="JU89" s="62"/>
      <c r="JV89" s="62"/>
      <c r="JW89" s="62"/>
      <c r="JX89" s="62"/>
      <c r="JY89" s="62"/>
      <c r="JZ89" s="62"/>
      <c r="KA89" s="62"/>
      <c r="KB89" s="62"/>
      <c r="KC89" s="62"/>
      <c r="KD89" s="18"/>
      <c r="KE89" s="18"/>
      <c r="KF89" s="1070"/>
      <c r="KI89" s="221"/>
    </row>
    <row r="90" spans="1:295" s="7" customFormat="1" ht="19.5" hidden="1" customHeight="1" thickBot="1" x14ac:dyDescent="0.3">
      <c r="A90" s="357"/>
      <c r="B90" s="416"/>
      <c r="C90" s="64"/>
      <c r="D90" s="362">
        <f t="shared" ref="D90" si="10">C90/1.2</f>
        <v>0</v>
      </c>
      <c r="E90" s="2267"/>
      <c r="F90" s="119"/>
      <c r="G90" s="120"/>
      <c r="H90" s="121"/>
      <c r="I90" s="120"/>
      <c r="J90" s="120"/>
      <c r="K90" s="120"/>
      <c r="L90" s="120"/>
      <c r="M90" s="120"/>
      <c r="N90" s="150"/>
      <c r="O90" s="120"/>
      <c r="P90" s="120"/>
      <c r="Q90" s="120"/>
      <c r="R90" s="120"/>
      <c r="S90" s="120"/>
      <c r="T90" s="120"/>
      <c r="U90" s="120"/>
      <c r="V90" s="124"/>
      <c r="W90" s="2267"/>
      <c r="X90" s="246"/>
      <c r="Y90" s="246"/>
      <c r="Z90" s="246"/>
      <c r="AA90" s="246"/>
      <c r="AB90" s="246"/>
      <c r="AC90" s="458"/>
      <c r="AD90" s="343"/>
      <c r="AE90" s="429"/>
      <c r="AF90" s="664"/>
      <c r="AG90" s="665"/>
      <c r="AH90" s="666"/>
      <c r="AI90" s="666"/>
      <c r="AJ90" s="666"/>
      <c r="AK90" s="666"/>
      <c r="AL90" s="666"/>
      <c r="AM90" s="667"/>
      <c r="AN90" s="354"/>
      <c r="AO90" s="216"/>
      <c r="AP90" s="213"/>
      <c r="AQ90" s="443"/>
      <c r="AR90" s="128"/>
      <c r="AS90" s="217"/>
      <c r="AT90" s="2285"/>
      <c r="AU90" s="153"/>
      <c r="AV90" s="136"/>
      <c r="AW90" s="123"/>
      <c r="AX90" s="141"/>
      <c r="AY90" s="123"/>
      <c r="AZ90" s="123"/>
      <c r="BA90" s="123"/>
      <c r="BB90" s="123"/>
      <c r="BC90" s="141"/>
      <c r="BD90" s="678"/>
      <c r="BE90" s="225"/>
      <c r="BF90" s="225"/>
      <c r="BG90" s="123"/>
      <c r="BH90" s="137"/>
      <c r="BI90" s="89"/>
      <c r="BJ90" s="89"/>
      <c r="BK90" s="89"/>
      <c r="BL90" s="122"/>
      <c r="BM90" s="136"/>
      <c r="BN90" s="89"/>
      <c r="BO90" s="89"/>
      <c r="BP90" s="122"/>
      <c r="BQ90" s="136"/>
      <c r="BR90" s="123"/>
      <c r="BS90" s="124"/>
      <c r="BT90" s="137"/>
      <c r="BU90" s="711"/>
      <c r="BV90" s="124"/>
      <c r="BW90" s="123"/>
      <c r="BX90" s="123"/>
      <c r="BY90" s="123"/>
      <c r="BZ90" s="137"/>
      <c r="CA90" s="153"/>
      <c r="CB90" s="137"/>
      <c r="CC90" s="2267"/>
      <c r="CD90" s="136"/>
      <c r="CE90" s="123"/>
      <c r="CF90" s="123"/>
      <c r="CG90" s="225"/>
      <c r="CH90" s="123"/>
      <c r="CI90" s="123"/>
      <c r="CJ90" s="123"/>
      <c r="CK90" s="123"/>
      <c r="CL90" s="123"/>
      <c r="CM90" s="123"/>
      <c r="CN90" s="123"/>
      <c r="CO90" s="123"/>
      <c r="CP90" s="123"/>
      <c r="CQ90" s="123"/>
      <c r="CR90" s="123"/>
      <c r="CS90" s="123"/>
      <c r="CT90" s="123"/>
      <c r="CU90" s="123"/>
      <c r="CV90" s="123"/>
      <c r="CW90" s="123"/>
      <c r="CX90" s="123"/>
      <c r="CY90" s="123"/>
      <c r="CZ90" s="123"/>
      <c r="DA90" s="123"/>
      <c r="DB90" s="123"/>
      <c r="DC90" s="123"/>
      <c r="DD90" s="123"/>
      <c r="DE90" s="123"/>
      <c r="DF90" s="123"/>
      <c r="DG90" s="60"/>
      <c r="DH90" s="60"/>
      <c r="DI90" s="123"/>
      <c r="DJ90" s="531"/>
      <c r="DK90" s="531"/>
      <c r="DL90" s="531"/>
      <c r="DM90" s="531"/>
      <c r="DN90" s="531"/>
      <c r="DO90" s="531"/>
      <c r="DP90" s="531"/>
      <c r="DQ90" s="770"/>
      <c r="DR90" s="924"/>
      <c r="DS90" s="60"/>
      <c r="DT90" s="140"/>
      <c r="DU90" s="136"/>
      <c r="DV90" s="137"/>
      <c r="DW90" s="932"/>
      <c r="DX90" s="690"/>
      <c r="DY90" s="690"/>
      <c r="DZ90" s="690"/>
      <c r="EA90" s="690"/>
      <c r="EB90" s="690"/>
      <c r="EC90" s="690"/>
      <c r="ED90" s="60"/>
      <c r="EE90" s="766"/>
      <c r="EF90" s="152"/>
      <c r="EG90" s="135"/>
      <c r="EH90" s="918"/>
      <c r="EI90" s="690"/>
      <c r="EJ90" s="690"/>
      <c r="EK90" s="690"/>
      <c r="EL90" s="690"/>
      <c r="EM90" s="690"/>
      <c r="EN90" s="690"/>
      <c r="EO90" s="690"/>
      <c r="EP90" s="690"/>
      <c r="EQ90" s="690"/>
      <c r="ER90" s="1084"/>
      <c r="ES90" s="1084"/>
      <c r="ET90" s="1084"/>
      <c r="EU90" s="1084"/>
      <c r="EV90" s="1084"/>
      <c r="EW90" s="1084"/>
      <c r="EX90" s="531"/>
      <c r="EY90" s="1084"/>
      <c r="EZ90" s="1084"/>
      <c r="FA90" s="1085"/>
      <c r="FB90" s="1084"/>
      <c r="FC90" s="123"/>
      <c r="FD90" s="123"/>
      <c r="FE90" s="531"/>
      <c r="FF90" s="531"/>
      <c r="FG90" s="531"/>
      <c r="FH90" s="531"/>
      <c r="FI90" s="531"/>
      <c r="FJ90" s="531"/>
      <c r="FK90" s="531"/>
      <c r="FL90" s="531"/>
      <c r="FM90" s="531"/>
      <c r="FN90" s="531"/>
      <c r="FO90" s="531"/>
      <c r="FP90" s="531"/>
      <c r="FQ90" s="531"/>
      <c r="FR90" s="531"/>
      <c r="FS90" s="531"/>
      <c r="FT90" s="531"/>
      <c r="FU90" s="531"/>
      <c r="FV90" s="531"/>
      <c r="FW90" s="531"/>
      <c r="FX90" s="531"/>
      <c r="FY90" s="531"/>
      <c r="FZ90" s="531"/>
      <c r="GA90" s="531"/>
      <c r="GB90" s="531"/>
      <c r="GC90" s="531"/>
      <c r="GD90" s="531"/>
      <c r="GE90" s="531"/>
      <c r="GF90" s="531"/>
      <c r="GG90" s="531"/>
      <c r="GH90" s="1086"/>
      <c r="GI90" s="1086"/>
      <c r="GJ90" s="1086"/>
      <c r="GK90" s="1086"/>
      <c r="GL90" s="1086"/>
      <c r="GM90" s="1091"/>
      <c r="GN90" s="531"/>
      <c r="GO90" s="531"/>
      <c r="GP90" s="531"/>
      <c r="GQ90" s="531"/>
      <c r="GR90" s="531"/>
      <c r="GS90" s="531"/>
      <c r="GT90" s="531"/>
      <c r="GU90" s="531"/>
      <c r="GV90" s="531"/>
      <c r="GW90" s="531"/>
      <c r="GX90" s="531"/>
      <c r="GY90" s="531"/>
      <c r="GZ90" s="531"/>
      <c r="HA90" s="531"/>
      <c r="HB90" s="531"/>
      <c r="HC90" s="531"/>
      <c r="HD90" s="531"/>
      <c r="HE90" s="531"/>
      <c r="HF90" s="531"/>
      <c r="HG90" s="531"/>
      <c r="HH90" s="531"/>
      <c r="HI90" s="531"/>
      <c r="HJ90" s="531"/>
      <c r="HK90" s="531"/>
      <c r="HL90" s="531"/>
      <c r="HM90" s="531"/>
      <c r="HN90" s="531"/>
      <c r="HO90" s="531"/>
      <c r="HP90" s="531"/>
      <c r="HQ90" s="531"/>
      <c r="HR90" s="531"/>
      <c r="HS90" s="531"/>
      <c r="HT90" s="531"/>
      <c r="HU90" s="531"/>
      <c r="HV90" s="531"/>
      <c r="HW90" s="531"/>
      <c r="HX90" s="531"/>
      <c r="HY90" s="531"/>
      <c r="HZ90" s="531"/>
      <c r="IA90" s="531"/>
      <c r="IB90" s="531"/>
      <c r="IC90" s="531"/>
      <c r="ID90" s="531"/>
      <c r="IE90" s="531"/>
      <c r="IF90" s="531"/>
      <c r="IG90" s="531"/>
      <c r="IH90" s="531"/>
      <c r="II90" s="531"/>
      <c r="IJ90" s="531"/>
      <c r="IK90" s="531"/>
      <c r="IL90" s="1086"/>
      <c r="IM90" s="1087"/>
      <c r="IN90" s="531"/>
      <c r="IO90" s="531"/>
      <c r="IP90" s="531"/>
      <c r="IQ90" s="1088"/>
      <c r="IR90" s="1088"/>
      <c r="IS90" s="1088"/>
      <c r="IT90" s="1088"/>
      <c r="IU90" s="1088"/>
      <c r="IV90" s="1088"/>
      <c r="IW90" s="1088"/>
      <c r="IX90" s="1088"/>
      <c r="IY90" s="1088"/>
      <c r="IZ90" s="1088"/>
      <c r="JA90" s="1088"/>
      <c r="JB90" s="1088"/>
      <c r="JC90" s="1088"/>
      <c r="JD90" s="1088"/>
      <c r="JE90" s="1088"/>
      <c r="JF90" s="1088"/>
      <c r="JG90" s="1088"/>
      <c r="JH90" s="1089"/>
      <c r="JI90" s="1090"/>
      <c r="JJ90" s="1088"/>
      <c r="JK90" s="1088"/>
      <c r="JL90" s="1088"/>
      <c r="JM90" s="1090"/>
      <c r="JN90" s="1091"/>
      <c r="JO90" s="1090"/>
      <c r="JP90" s="1092"/>
      <c r="JQ90" s="1092"/>
      <c r="JR90" s="1092"/>
      <c r="JS90" s="1092"/>
      <c r="JT90" s="1092"/>
      <c r="JU90" s="1092"/>
      <c r="JV90" s="1092"/>
      <c r="JW90" s="1092"/>
      <c r="JX90" s="1092"/>
      <c r="JY90" s="1092"/>
      <c r="JZ90" s="1092"/>
      <c r="KA90" s="1092"/>
      <c r="KB90" s="1092"/>
      <c r="KC90" s="1092"/>
      <c r="KD90" s="1075"/>
      <c r="KE90" s="1075"/>
      <c r="KF90" s="1074"/>
      <c r="KI90" s="221"/>
    </row>
    <row r="91" spans="1:295" s="7" customFormat="1" ht="23.25" customHeight="1" thickBot="1" x14ac:dyDescent="0.25">
      <c r="A91" s="358"/>
      <c r="B91" s="417" t="s">
        <v>610</v>
      </c>
      <c r="C91" s="129">
        <f>C75+C31+C29+C25+C7</f>
        <v>2649749.9803305338</v>
      </c>
      <c r="D91" s="129">
        <f>D75+D31+D29+D25+D7</f>
        <v>2208124.9836087781</v>
      </c>
      <c r="E91" s="2267"/>
      <c r="F91" s="2269">
        <f t="shared" ref="F91:V91" si="11">SUM(F6:F90)</f>
        <v>9.9503674601232373</v>
      </c>
      <c r="G91" s="1212">
        <f t="shared" si="11"/>
        <v>0</v>
      </c>
      <c r="H91" s="146">
        <f t="shared" si="11"/>
        <v>7.6053674601232366</v>
      </c>
      <c r="I91" s="146">
        <f t="shared" si="11"/>
        <v>0</v>
      </c>
      <c r="J91" s="146">
        <f t="shared" si="11"/>
        <v>2.3450000000000002</v>
      </c>
      <c r="K91" s="1213">
        <f t="shared" si="11"/>
        <v>0</v>
      </c>
      <c r="L91" s="2309">
        <f t="shared" si="11"/>
        <v>0</v>
      </c>
      <c r="M91" s="2272">
        <f t="shared" si="11"/>
        <v>0</v>
      </c>
      <c r="N91" s="2311">
        <f t="shared" si="11"/>
        <v>0</v>
      </c>
      <c r="O91" s="2272">
        <f t="shared" si="11"/>
        <v>0</v>
      </c>
      <c r="P91" s="2272">
        <f t="shared" si="11"/>
        <v>0</v>
      </c>
      <c r="Q91" s="2272">
        <f t="shared" si="11"/>
        <v>0</v>
      </c>
      <c r="R91" s="2272">
        <f t="shared" si="11"/>
        <v>0</v>
      </c>
      <c r="S91" s="2274">
        <f t="shared" si="11"/>
        <v>0</v>
      </c>
      <c r="T91" s="2272">
        <f t="shared" si="11"/>
        <v>0</v>
      </c>
      <c r="U91" s="2272">
        <f t="shared" si="11"/>
        <v>0</v>
      </c>
      <c r="V91" s="2272">
        <f t="shared" si="11"/>
        <v>0</v>
      </c>
      <c r="W91" s="2267"/>
      <c r="X91" s="247">
        <f t="shared" ref="X91:AS91" si="12">SUM(X6:X90)</f>
        <v>0</v>
      </c>
      <c r="Y91" s="248">
        <f t="shared" si="12"/>
        <v>2500.380172628305</v>
      </c>
      <c r="Z91" s="248">
        <f t="shared" si="12"/>
        <v>0</v>
      </c>
      <c r="AA91" s="248">
        <f t="shared" si="12"/>
        <v>0</v>
      </c>
      <c r="AB91" s="248">
        <f t="shared" si="12"/>
        <v>4692.1159900000002</v>
      </c>
      <c r="AC91" s="248">
        <f t="shared" si="12"/>
        <v>0</v>
      </c>
      <c r="AD91" s="344">
        <f t="shared" si="12"/>
        <v>158.5386</v>
      </c>
      <c r="AE91" s="2304">
        <f t="shared" si="12"/>
        <v>393.09558839222393</v>
      </c>
      <c r="AF91" s="248">
        <f t="shared" si="12"/>
        <v>0</v>
      </c>
      <c r="AG91" s="668">
        <f t="shared" si="12"/>
        <v>0</v>
      </c>
      <c r="AH91" s="669">
        <f t="shared" si="12"/>
        <v>0</v>
      </c>
      <c r="AI91" s="669">
        <f t="shared" si="12"/>
        <v>0</v>
      </c>
      <c r="AJ91" s="669">
        <f t="shared" si="12"/>
        <v>1381.9027492038651</v>
      </c>
      <c r="AK91" s="669">
        <f t="shared" si="12"/>
        <v>968.80380512949637</v>
      </c>
      <c r="AL91" s="669">
        <f t="shared" si="12"/>
        <v>0</v>
      </c>
      <c r="AM91" s="670">
        <f t="shared" si="12"/>
        <v>2416.487017744204</v>
      </c>
      <c r="AN91" s="2332">
        <f t="shared" si="12"/>
        <v>0</v>
      </c>
      <c r="AO91" s="2208">
        <f t="shared" si="12"/>
        <v>0</v>
      </c>
      <c r="AP91" s="2276">
        <f t="shared" si="12"/>
        <v>0</v>
      </c>
      <c r="AQ91" s="2278">
        <f t="shared" si="12"/>
        <v>0.50007603452566096</v>
      </c>
      <c r="AR91" s="2280">
        <f t="shared" si="12"/>
        <v>0.315</v>
      </c>
      <c r="AS91" s="2282">
        <f t="shared" si="12"/>
        <v>29.93122945411184</v>
      </c>
      <c r="AT91" s="2285"/>
      <c r="AU91" s="1289">
        <f t="shared" ref="AU91:CB91" si="13">SUM(AU6:AU90)</f>
        <v>153.33333333333331</v>
      </c>
      <c r="AV91" s="138">
        <f t="shared" si="13"/>
        <v>318.94499999999999</v>
      </c>
      <c r="AW91" s="130">
        <f t="shared" si="13"/>
        <v>0</v>
      </c>
      <c r="AX91" s="142">
        <f t="shared" si="13"/>
        <v>0</v>
      </c>
      <c r="AY91" s="130">
        <f t="shared" si="13"/>
        <v>622.91699999999992</v>
      </c>
      <c r="AZ91" s="130">
        <f t="shared" si="13"/>
        <v>2064.7420000000002</v>
      </c>
      <c r="BA91" s="130">
        <f t="shared" si="13"/>
        <v>0</v>
      </c>
      <c r="BB91" s="130">
        <f t="shared" si="13"/>
        <v>0</v>
      </c>
      <c r="BC91" s="142">
        <f t="shared" si="13"/>
        <v>0</v>
      </c>
      <c r="BD91" s="130">
        <f t="shared" si="13"/>
        <v>0</v>
      </c>
      <c r="BE91" s="669">
        <f t="shared" si="13"/>
        <v>48.591549295774648</v>
      </c>
      <c r="BF91" s="669">
        <f t="shared" si="13"/>
        <v>6268.5739999999996</v>
      </c>
      <c r="BG91" s="130">
        <f t="shared" si="13"/>
        <v>0</v>
      </c>
      <c r="BH91" s="131">
        <f t="shared" si="13"/>
        <v>251.28299999999999</v>
      </c>
      <c r="BI91" s="129">
        <f t="shared" si="13"/>
        <v>0</v>
      </c>
      <c r="BJ91" s="130">
        <f t="shared" si="13"/>
        <v>139.33539999999988</v>
      </c>
      <c r="BK91" s="130">
        <f t="shared" si="13"/>
        <v>204.51279999999983</v>
      </c>
      <c r="BL91" s="131">
        <f t="shared" si="13"/>
        <v>0</v>
      </c>
      <c r="BM91" s="138">
        <f t="shared" si="13"/>
        <v>0</v>
      </c>
      <c r="BN91" s="130">
        <f t="shared" si="13"/>
        <v>0</v>
      </c>
      <c r="BO91" s="130">
        <f t="shared" si="13"/>
        <v>0</v>
      </c>
      <c r="BP91" s="131">
        <f t="shared" si="13"/>
        <v>0</v>
      </c>
      <c r="BQ91" s="138">
        <f t="shared" si="13"/>
        <v>0</v>
      </c>
      <c r="BR91" s="130">
        <f t="shared" si="13"/>
        <v>178.35655999999983</v>
      </c>
      <c r="BS91" s="130">
        <f t="shared" si="13"/>
        <v>0</v>
      </c>
      <c r="BT91" s="131">
        <f t="shared" si="13"/>
        <v>656.06619686274598</v>
      </c>
      <c r="BU91" s="2280">
        <f t="shared" si="13"/>
        <v>480.90305000000001</v>
      </c>
      <c r="BV91" s="861">
        <f t="shared" si="13"/>
        <v>944.5</v>
      </c>
      <c r="BW91" s="862">
        <f t="shared" si="13"/>
        <v>0</v>
      </c>
      <c r="BX91" s="862">
        <f t="shared" si="13"/>
        <v>241.24500000000003</v>
      </c>
      <c r="BY91" s="862">
        <f t="shared" si="13"/>
        <v>0</v>
      </c>
      <c r="BZ91" s="764">
        <f t="shared" si="13"/>
        <v>1586.7711000000002</v>
      </c>
      <c r="CA91" s="1195">
        <f t="shared" si="13"/>
        <v>27.988799999999998</v>
      </c>
      <c r="CB91" s="764">
        <f t="shared" si="13"/>
        <v>394.39547999999996</v>
      </c>
      <c r="CC91" s="2267"/>
      <c r="CD91" s="2364">
        <f t="shared" ref="CD91:DI91" si="14">SUM(CD6:CD90)</f>
        <v>0</v>
      </c>
      <c r="CE91" s="2213">
        <f t="shared" si="14"/>
        <v>0</v>
      </c>
      <c r="CF91" s="2213">
        <f t="shared" si="14"/>
        <v>0</v>
      </c>
      <c r="CG91" s="2381">
        <f t="shared" si="14"/>
        <v>41.414999999999999</v>
      </c>
      <c r="CH91" s="2213">
        <f t="shared" si="14"/>
        <v>0</v>
      </c>
      <c r="CI91" s="862">
        <f t="shared" si="14"/>
        <v>753</v>
      </c>
      <c r="CJ91" s="862">
        <f t="shared" si="14"/>
        <v>0</v>
      </c>
      <c r="CK91" s="862">
        <f t="shared" si="14"/>
        <v>0</v>
      </c>
      <c r="CL91" s="2213">
        <f t="shared" si="14"/>
        <v>0</v>
      </c>
      <c r="CM91" s="2213">
        <f t="shared" si="14"/>
        <v>0</v>
      </c>
      <c r="CN91" s="2213">
        <f t="shared" si="14"/>
        <v>0</v>
      </c>
      <c r="CO91" s="2213">
        <f t="shared" si="14"/>
        <v>0</v>
      </c>
      <c r="CP91" s="2213">
        <f t="shared" si="14"/>
        <v>0</v>
      </c>
      <c r="CQ91" s="2213">
        <f t="shared" si="14"/>
        <v>0</v>
      </c>
      <c r="CR91" s="2213">
        <f t="shared" si="14"/>
        <v>0</v>
      </c>
      <c r="CS91" s="2213">
        <f t="shared" si="14"/>
        <v>0</v>
      </c>
      <c r="CT91" s="2213">
        <f t="shared" si="14"/>
        <v>0</v>
      </c>
      <c r="CU91" s="2213">
        <f t="shared" si="14"/>
        <v>0</v>
      </c>
      <c r="CV91" s="2213">
        <f t="shared" si="14"/>
        <v>0</v>
      </c>
      <c r="CW91" s="2213">
        <f t="shared" si="14"/>
        <v>0</v>
      </c>
      <c r="CX91" s="2213">
        <f t="shared" si="14"/>
        <v>0</v>
      </c>
      <c r="CY91" s="2213">
        <f t="shared" si="14"/>
        <v>0</v>
      </c>
      <c r="CZ91" s="2213">
        <f t="shared" si="14"/>
        <v>0</v>
      </c>
      <c r="DA91" s="2213">
        <f t="shared" si="14"/>
        <v>0</v>
      </c>
      <c r="DB91" s="2213">
        <f t="shared" si="14"/>
        <v>0</v>
      </c>
      <c r="DC91" s="2213">
        <f t="shared" si="14"/>
        <v>0</v>
      </c>
      <c r="DD91" s="2213">
        <f t="shared" si="14"/>
        <v>0</v>
      </c>
      <c r="DE91" s="2213">
        <f t="shared" si="14"/>
        <v>0</v>
      </c>
      <c r="DF91" s="2213">
        <f t="shared" si="14"/>
        <v>0</v>
      </c>
      <c r="DG91" s="2213">
        <f t="shared" si="14"/>
        <v>0</v>
      </c>
      <c r="DH91" s="2213">
        <f t="shared" si="14"/>
        <v>0</v>
      </c>
      <c r="DI91" s="2213">
        <f t="shared" si="14"/>
        <v>0</v>
      </c>
      <c r="DJ91" s="2213">
        <f t="shared" ref="DJ91:EO91" si="15">SUM(DJ6:DJ90)</f>
        <v>0</v>
      </c>
      <c r="DK91" s="2213">
        <f t="shared" si="15"/>
        <v>2284.6492843762435</v>
      </c>
      <c r="DL91" s="2213">
        <f t="shared" si="15"/>
        <v>0</v>
      </c>
      <c r="DM91" s="2213">
        <f t="shared" si="15"/>
        <v>0</v>
      </c>
      <c r="DN91" s="2213">
        <f t="shared" si="15"/>
        <v>423</v>
      </c>
      <c r="DO91" s="2213">
        <f t="shared" si="15"/>
        <v>0</v>
      </c>
      <c r="DP91" s="2232">
        <f t="shared" si="15"/>
        <v>0</v>
      </c>
      <c r="DQ91" s="2234">
        <f t="shared" si="15"/>
        <v>0</v>
      </c>
      <c r="DR91" s="2364">
        <f t="shared" si="15"/>
        <v>0</v>
      </c>
      <c r="DS91" s="2213">
        <f t="shared" si="15"/>
        <v>0</v>
      </c>
      <c r="DT91" s="2216">
        <f t="shared" si="15"/>
        <v>73.73</v>
      </c>
      <c r="DU91" s="2364">
        <f t="shared" si="15"/>
        <v>0</v>
      </c>
      <c r="DV91" s="2234">
        <f t="shared" si="15"/>
        <v>0</v>
      </c>
      <c r="DW91" s="721">
        <f t="shared" si="15"/>
        <v>0</v>
      </c>
      <c r="DX91" s="720">
        <f t="shared" si="15"/>
        <v>0</v>
      </c>
      <c r="DY91" s="720">
        <f t="shared" si="15"/>
        <v>5.5300000000000002E-2</v>
      </c>
      <c r="DZ91" s="720">
        <f t="shared" si="15"/>
        <v>0</v>
      </c>
      <c r="EA91" s="720">
        <f t="shared" si="15"/>
        <v>0</v>
      </c>
      <c r="EB91" s="720">
        <f t="shared" si="15"/>
        <v>8.3199999999999996E-2</v>
      </c>
      <c r="EC91" s="720">
        <f t="shared" si="15"/>
        <v>0</v>
      </c>
      <c r="ED91" s="720">
        <f t="shared" si="15"/>
        <v>0</v>
      </c>
      <c r="EE91" s="722">
        <f t="shared" si="15"/>
        <v>0</v>
      </c>
      <c r="EF91" s="2370">
        <f t="shared" si="15"/>
        <v>0</v>
      </c>
      <c r="EG91" s="2234">
        <f t="shared" si="15"/>
        <v>0</v>
      </c>
      <c r="EH91" s="2362">
        <f t="shared" si="15"/>
        <v>0</v>
      </c>
      <c r="EI91" s="2208">
        <f t="shared" si="15"/>
        <v>0</v>
      </c>
      <c r="EJ91" s="2208">
        <f t="shared" si="15"/>
        <v>0</v>
      </c>
      <c r="EK91" s="2208">
        <f t="shared" si="15"/>
        <v>0</v>
      </c>
      <c r="EL91" s="2208">
        <f t="shared" si="15"/>
        <v>0</v>
      </c>
      <c r="EM91" s="2208">
        <f t="shared" si="15"/>
        <v>0</v>
      </c>
      <c r="EN91" s="2208">
        <f t="shared" si="15"/>
        <v>0</v>
      </c>
      <c r="EO91" s="2208">
        <f t="shared" si="15"/>
        <v>0</v>
      </c>
      <c r="EP91" s="2208">
        <f t="shared" ref="EP91:FX91" si="16">SUM(EP6:EP90)</f>
        <v>0</v>
      </c>
      <c r="EQ91" s="2372">
        <f t="shared" si="16"/>
        <v>0</v>
      </c>
      <c r="ER91" s="1769">
        <f t="shared" si="16"/>
        <v>0</v>
      </c>
      <c r="ES91" s="1769">
        <f t="shared" ref="ES91:ET91" si="17">SUM(ES6:ES90)</f>
        <v>3.9094285714285717</v>
      </c>
      <c r="ET91" s="721">
        <f t="shared" si="17"/>
        <v>14.574999999999999</v>
      </c>
      <c r="EU91" s="720">
        <f t="shared" si="16"/>
        <v>0</v>
      </c>
      <c r="EV91" s="720">
        <f t="shared" si="16"/>
        <v>0</v>
      </c>
      <c r="EW91" s="2208">
        <f t="shared" si="16"/>
        <v>0.51</v>
      </c>
      <c r="EX91" s="2213">
        <f t="shared" si="16"/>
        <v>18</v>
      </c>
      <c r="EY91" s="2213">
        <f t="shared" si="16"/>
        <v>8274</v>
      </c>
      <c r="EZ91" s="2208">
        <f t="shared" si="16"/>
        <v>0</v>
      </c>
      <c r="FA91" s="2383">
        <f t="shared" si="16"/>
        <v>0</v>
      </c>
      <c r="FB91" s="2381">
        <f t="shared" si="16"/>
        <v>0</v>
      </c>
      <c r="FC91" s="2213">
        <f t="shared" si="16"/>
        <v>0</v>
      </c>
      <c r="FD91" s="2213">
        <f t="shared" si="16"/>
        <v>0</v>
      </c>
      <c r="FE91" s="2213">
        <f t="shared" si="16"/>
        <v>0</v>
      </c>
      <c r="FF91" s="2213">
        <f t="shared" si="16"/>
        <v>0</v>
      </c>
      <c r="FG91" s="2213">
        <f t="shared" si="16"/>
        <v>0</v>
      </c>
      <c r="FH91" s="2213">
        <f t="shared" si="16"/>
        <v>0</v>
      </c>
      <c r="FI91" s="2213">
        <f t="shared" si="16"/>
        <v>0</v>
      </c>
      <c r="FJ91" s="2213">
        <f t="shared" si="16"/>
        <v>0</v>
      </c>
      <c r="FK91" s="2213">
        <f t="shared" si="16"/>
        <v>0</v>
      </c>
      <c r="FL91" s="2213">
        <f t="shared" si="16"/>
        <v>0</v>
      </c>
      <c r="FM91" s="2213">
        <f t="shared" si="16"/>
        <v>0</v>
      </c>
      <c r="FN91" s="2213">
        <f t="shared" si="16"/>
        <v>0</v>
      </c>
      <c r="FO91" s="2213">
        <f t="shared" si="16"/>
        <v>0</v>
      </c>
      <c r="FP91" s="2213">
        <f t="shared" si="16"/>
        <v>0</v>
      </c>
      <c r="FQ91" s="2213">
        <f t="shared" si="16"/>
        <v>0</v>
      </c>
      <c r="FR91" s="2213">
        <f t="shared" si="16"/>
        <v>0</v>
      </c>
      <c r="FS91" s="2213">
        <f t="shared" si="16"/>
        <v>0</v>
      </c>
      <c r="FT91" s="2213">
        <f t="shared" si="16"/>
        <v>0</v>
      </c>
      <c r="FU91" s="2213">
        <f t="shared" si="16"/>
        <v>0</v>
      </c>
      <c r="FV91" s="2213">
        <f t="shared" si="16"/>
        <v>0</v>
      </c>
      <c r="FW91" s="2213">
        <f t="shared" si="16"/>
        <v>0</v>
      </c>
      <c r="FX91" s="2213">
        <f t="shared" si="16"/>
        <v>0</v>
      </c>
      <c r="FY91" s="2213">
        <f t="shared" ref="FY91:HF91" si="18">SUM(FY6:FY90)</f>
        <v>0</v>
      </c>
      <c r="FZ91" s="2213">
        <f t="shared" si="18"/>
        <v>0</v>
      </c>
      <c r="GA91" s="2213">
        <f t="shared" si="18"/>
        <v>0</v>
      </c>
      <c r="GB91" s="2213">
        <f t="shared" si="18"/>
        <v>0</v>
      </c>
      <c r="GC91" s="2213">
        <f t="shared" si="18"/>
        <v>0</v>
      </c>
      <c r="GD91" s="2213">
        <f t="shared" si="18"/>
        <v>0</v>
      </c>
      <c r="GE91" s="2213">
        <f t="shared" si="18"/>
        <v>0</v>
      </c>
      <c r="GF91" s="2213">
        <f t="shared" si="18"/>
        <v>0</v>
      </c>
      <c r="GG91" s="2213">
        <f t="shared" si="18"/>
        <v>0</v>
      </c>
      <c r="GH91" s="2213">
        <f t="shared" si="18"/>
        <v>0</v>
      </c>
      <c r="GI91" s="2213">
        <f t="shared" si="18"/>
        <v>0</v>
      </c>
      <c r="GJ91" s="2213">
        <f t="shared" si="18"/>
        <v>0</v>
      </c>
      <c r="GK91" s="2213">
        <f t="shared" ref="GK91" si="19">SUM(GK6:GK90)</f>
        <v>21</v>
      </c>
      <c r="GL91" s="2213">
        <f t="shared" si="18"/>
        <v>0</v>
      </c>
      <c r="GM91" s="2234">
        <f t="shared" si="18"/>
        <v>17</v>
      </c>
      <c r="GN91" s="2213">
        <f t="shared" si="18"/>
        <v>0</v>
      </c>
      <c r="GO91" s="2213">
        <f t="shared" si="18"/>
        <v>0</v>
      </c>
      <c r="GP91" s="2213">
        <f t="shared" si="18"/>
        <v>0</v>
      </c>
      <c r="GQ91" s="2213">
        <f t="shared" si="18"/>
        <v>11</v>
      </c>
      <c r="GR91" s="2213">
        <f t="shared" si="18"/>
        <v>0</v>
      </c>
      <c r="GS91" s="2213">
        <f t="shared" si="18"/>
        <v>0</v>
      </c>
      <c r="GT91" s="2213">
        <f t="shared" si="18"/>
        <v>0</v>
      </c>
      <c r="GU91" s="2213">
        <f t="shared" si="18"/>
        <v>0</v>
      </c>
      <c r="GV91" s="2213">
        <f t="shared" si="18"/>
        <v>0</v>
      </c>
      <c r="GW91" s="2213">
        <f t="shared" si="18"/>
        <v>0</v>
      </c>
      <c r="GX91" s="2213">
        <f t="shared" si="18"/>
        <v>0</v>
      </c>
      <c r="GY91" s="2213">
        <f t="shared" si="18"/>
        <v>0</v>
      </c>
      <c r="GZ91" s="2213">
        <f t="shared" si="18"/>
        <v>1</v>
      </c>
      <c r="HA91" s="2213">
        <f t="shared" si="18"/>
        <v>11</v>
      </c>
      <c r="HB91" s="2213">
        <f t="shared" si="18"/>
        <v>1</v>
      </c>
      <c r="HC91" s="2213">
        <f t="shared" si="18"/>
        <v>2</v>
      </c>
      <c r="HD91" s="2213">
        <f t="shared" si="18"/>
        <v>1</v>
      </c>
      <c r="HE91" s="2213">
        <f t="shared" si="18"/>
        <v>21</v>
      </c>
      <c r="HF91" s="2213">
        <f t="shared" si="18"/>
        <v>0</v>
      </c>
      <c r="HG91" s="2213">
        <f t="shared" ref="HG91:IL91" si="20">SUM(HG6:HG90)</f>
        <v>0</v>
      </c>
      <c r="HH91" s="2213">
        <f t="shared" si="20"/>
        <v>0</v>
      </c>
      <c r="HI91" s="2213">
        <f t="shared" si="20"/>
        <v>0</v>
      </c>
      <c r="HJ91" s="2213">
        <f t="shared" si="20"/>
        <v>0</v>
      </c>
      <c r="HK91" s="2213">
        <f t="shared" si="20"/>
        <v>0</v>
      </c>
      <c r="HL91" s="2213">
        <f t="shared" si="20"/>
        <v>0</v>
      </c>
      <c r="HM91" s="2213">
        <f t="shared" si="20"/>
        <v>9</v>
      </c>
      <c r="HN91" s="2213">
        <f t="shared" si="20"/>
        <v>0</v>
      </c>
      <c r="HO91" s="2213">
        <f t="shared" si="20"/>
        <v>0</v>
      </c>
      <c r="HP91" s="2213">
        <f t="shared" si="20"/>
        <v>0</v>
      </c>
      <c r="HQ91" s="2213">
        <f t="shared" si="20"/>
        <v>0</v>
      </c>
      <c r="HR91" s="2213">
        <f t="shared" si="20"/>
        <v>0</v>
      </c>
      <c r="HS91" s="2213">
        <f t="shared" si="20"/>
        <v>0</v>
      </c>
      <c r="HT91" s="2213">
        <f t="shared" si="20"/>
        <v>0</v>
      </c>
      <c r="HU91" s="2213">
        <f t="shared" si="20"/>
        <v>0</v>
      </c>
      <c r="HV91" s="2213">
        <f t="shared" si="20"/>
        <v>0</v>
      </c>
      <c r="HW91" s="2213">
        <f t="shared" si="20"/>
        <v>0</v>
      </c>
      <c r="HX91" s="2213">
        <f t="shared" si="20"/>
        <v>0</v>
      </c>
      <c r="HY91" s="2213">
        <f t="shared" si="20"/>
        <v>0</v>
      </c>
      <c r="HZ91" s="2213">
        <f t="shared" si="20"/>
        <v>0</v>
      </c>
      <c r="IA91" s="2213">
        <f t="shared" si="20"/>
        <v>0</v>
      </c>
      <c r="IB91" s="2213">
        <f t="shared" si="20"/>
        <v>0</v>
      </c>
      <c r="IC91" s="2213">
        <f t="shared" si="20"/>
        <v>0</v>
      </c>
      <c r="ID91" s="2213">
        <f t="shared" si="20"/>
        <v>0</v>
      </c>
      <c r="IE91" s="2213">
        <f t="shared" si="20"/>
        <v>1</v>
      </c>
      <c r="IF91" s="2213">
        <f t="shared" si="20"/>
        <v>0</v>
      </c>
      <c r="IG91" s="2213">
        <f t="shared" si="20"/>
        <v>0</v>
      </c>
      <c r="IH91" s="2213">
        <f t="shared" si="20"/>
        <v>0</v>
      </c>
      <c r="II91" s="2213">
        <f t="shared" si="20"/>
        <v>0</v>
      </c>
      <c r="IJ91" s="2213">
        <f t="shared" si="20"/>
        <v>0</v>
      </c>
      <c r="IK91" s="2213">
        <f t="shared" si="20"/>
        <v>0</v>
      </c>
      <c r="IL91" s="2216">
        <f t="shared" si="20"/>
        <v>0</v>
      </c>
      <c r="IM91" s="2276">
        <f t="shared" ref="IM91:JK91" si="21">SUM(IM6:IM90)</f>
        <v>0</v>
      </c>
      <c r="IN91" s="2213">
        <f t="shared" si="21"/>
        <v>0</v>
      </c>
      <c r="IO91" s="2213">
        <f t="shared" si="21"/>
        <v>0</v>
      </c>
      <c r="IP91" s="2213">
        <f t="shared" si="21"/>
        <v>0</v>
      </c>
      <c r="IQ91" s="2213">
        <f t="shared" si="21"/>
        <v>0</v>
      </c>
      <c r="IR91" s="2213">
        <f t="shared" si="21"/>
        <v>0</v>
      </c>
      <c r="IS91" s="2213">
        <f t="shared" si="21"/>
        <v>0</v>
      </c>
      <c r="IT91" s="2213">
        <f t="shared" si="21"/>
        <v>0</v>
      </c>
      <c r="IU91" s="2213">
        <f t="shared" si="21"/>
        <v>0</v>
      </c>
      <c r="IV91" s="2213">
        <f t="shared" si="21"/>
        <v>0</v>
      </c>
      <c r="IW91" s="2213">
        <f t="shared" si="21"/>
        <v>0</v>
      </c>
      <c r="IX91" s="2213">
        <f t="shared" si="21"/>
        <v>0</v>
      </c>
      <c r="IY91" s="2213">
        <f t="shared" si="21"/>
        <v>0</v>
      </c>
      <c r="IZ91" s="2213">
        <f t="shared" si="21"/>
        <v>0</v>
      </c>
      <c r="JA91" s="2213">
        <f t="shared" si="21"/>
        <v>0</v>
      </c>
      <c r="JB91" s="2213">
        <f t="shared" si="21"/>
        <v>0</v>
      </c>
      <c r="JC91" s="2213">
        <f t="shared" si="21"/>
        <v>0</v>
      </c>
      <c r="JD91" s="2213">
        <f t="shared" si="21"/>
        <v>0</v>
      </c>
      <c r="JE91" s="2213">
        <f t="shared" si="21"/>
        <v>0</v>
      </c>
      <c r="JF91" s="2213">
        <f t="shared" si="21"/>
        <v>0</v>
      </c>
      <c r="JG91" s="2213">
        <f t="shared" si="21"/>
        <v>0</v>
      </c>
      <c r="JH91" s="2213">
        <f t="shared" si="21"/>
        <v>0</v>
      </c>
      <c r="JI91" s="2234">
        <f t="shared" si="21"/>
        <v>0</v>
      </c>
      <c r="JJ91" s="1094">
        <f t="shared" si="21"/>
        <v>0</v>
      </c>
      <c r="JK91" s="1094">
        <f t="shared" si="21"/>
        <v>0</v>
      </c>
      <c r="JL91" s="2213">
        <f t="shared" ref="JL91:JM91" si="22">SUM(JL6:JL90)</f>
        <v>1</v>
      </c>
      <c r="JM91" s="2234">
        <f t="shared" si="22"/>
        <v>20</v>
      </c>
      <c r="JN91" s="1093">
        <f t="shared" ref="JN91:JS91" si="23">SUM(JN6:JN90)</f>
        <v>0</v>
      </c>
      <c r="JO91" s="1094">
        <f t="shared" si="23"/>
        <v>0</v>
      </c>
      <c r="JP91" s="1094">
        <f t="shared" si="23"/>
        <v>0</v>
      </c>
      <c r="JQ91" s="1094">
        <f t="shared" si="23"/>
        <v>0</v>
      </c>
      <c r="JR91" s="1094">
        <f t="shared" si="23"/>
        <v>0</v>
      </c>
      <c r="JS91" s="1094">
        <f t="shared" si="23"/>
        <v>0</v>
      </c>
      <c r="JT91" s="1094"/>
      <c r="JU91" s="1094"/>
      <c r="JV91" s="1094"/>
      <c r="JW91" s="1094"/>
      <c r="JX91" s="1094"/>
      <c r="JY91" s="1094"/>
      <c r="JZ91" s="1094"/>
      <c r="KA91" s="1094"/>
      <c r="KB91" s="1094"/>
      <c r="KC91" s="1094"/>
      <c r="KD91" s="1095"/>
      <c r="KE91" s="1096"/>
      <c r="KF91" s="2385">
        <f>SUM(KF6:KF90)</f>
        <v>0</v>
      </c>
      <c r="KI91" s="221"/>
    </row>
    <row r="92" spans="1:295" s="7" customFormat="1" ht="18.75" customHeight="1" thickBot="1" x14ac:dyDescent="0.3">
      <c r="A92" s="143"/>
      <c r="B92" s="170" t="s">
        <v>612</v>
      </c>
      <c r="C92" s="171">
        <f>D92*1.2</f>
        <v>2054897.412</v>
      </c>
      <c r="D92" s="172">
        <f>'СМР В соп. ценах'!C7</f>
        <v>1712414.51</v>
      </c>
      <c r="E92" s="2268"/>
      <c r="F92" s="2270"/>
      <c r="G92" s="2306">
        <f>SUM(G91:K91)</f>
        <v>9.9503674601232373</v>
      </c>
      <c r="H92" s="2307"/>
      <c r="I92" s="2307"/>
      <c r="J92" s="2307"/>
      <c r="K92" s="2308"/>
      <c r="L92" s="2310"/>
      <c r="M92" s="2273"/>
      <c r="N92" s="2312"/>
      <c r="O92" s="2273"/>
      <c r="P92" s="2273"/>
      <c r="Q92" s="2273"/>
      <c r="R92" s="2273"/>
      <c r="S92" s="2275"/>
      <c r="T92" s="2273"/>
      <c r="U92" s="2273"/>
      <c r="V92" s="2273"/>
      <c r="W92" s="2268"/>
      <c r="X92" s="2287">
        <f>SUM(X91:AD91)</f>
        <v>7351.0347626283055</v>
      </c>
      <c r="Y92" s="2288"/>
      <c r="Z92" s="2288"/>
      <c r="AA92" s="2288"/>
      <c r="AB92" s="2288"/>
      <c r="AC92" s="2288"/>
      <c r="AD92" s="2288"/>
      <c r="AE92" s="2305"/>
      <c r="AF92" s="2288">
        <f>SUM(AF91:AM91)</f>
        <v>4767.1935720775655</v>
      </c>
      <c r="AG92" s="2288"/>
      <c r="AH92" s="2288"/>
      <c r="AI92" s="2288"/>
      <c r="AJ92" s="2288"/>
      <c r="AK92" s="2288"/>
      <c r="AL92" s="2288"/>
      <c r="AM92" s="2288"/>
      <c r="AN92" s="2333"/>
      <c r="AO92" s="2209"/>
      <c r="AP92" s="2277"/>
      <c r="AQ92" s="2279"/>
      <c r="AR92" s="2281"/>
      <c r="AS92" s="2283"/>
      <c r="AT92" s="2286"/>
      <c r="AU92" s="2321">
        <f>SUM(AU91:BT91)</f>
        <v>10906.656839491854</v>
      </c>
      <c r="AV92" s="2322"/>
      <c r="AW92" s="2322"/>
      <c r="AX92" s="2322"/>
      <c r="AY92" s="2322"/>
      <c r="AZ92" s="2322"/>
      <c r="BA92" s="2322"/>
      <c r="BB92" s="2322"/>
      <c r="BC92" s="2322"/>
      <c r="BD92" s="2322"/>
      <c r="BE92" s="2322"/>
      <c r="BF92" s="2322"/>
      <c r="BG92" s="2322"/>
      <c r="BH92" s="2322"/>
      <c r="BI92" s="2322"/>
      <c r="BJ92" s="2322"/>
      <c r="BK92" s="2322"/>
      <c r="BL92" s="2322"/>
      <c r="BM92" s="2322"/>
      <c r="BN92" s="2322"/>
      <c r="BO92" s="2322"/>
      <c r="BP92" s="2322"/>
      <c r="BQ92" s="2322"/>
      <c r="BR92" s="2322"/>
      <c r="BS92" s="2322"/>
      <c r="BT92" s="2322"/>
      <c r="BU92" s="2281"/>
      <c r="BV92" s="2313">
        <f>SUM(BV91:BZ91)</f>
        <v>2772.5161000000003</v>
      </c>
      <c r="BW92" s="2314"/>
      <c r="BX92" s="2314"/>
      <c r="BY92" s="2314"/>
      <c r="BZ92" s="2315"/>
      <c r="CA92" s="2327">
        <f>SUM(CA91:CB91)</f>
        <v>422.38427999999999</v>
      </c>
      <c r="CB92" s="2328"/>
      <c r="CC92" s="2268"/>
      <c r="CD92" s="2365"/>
      <c r="CE92" s="2214"/>
      <c r="CF92" s="2214"/>
      <c r="CG92" s="2382"/>
      <c r="CH92" s="2214"/>
      <c r="CI92" s="2236">
        <f>SUM(CI91:CK91)</f>
        <v>753</v>
      </c>
      <c r="CJ92" s="2237"/>
      <c r="CK92" s="2238"/>
      <c r="CL92" s="2214"/>
      <c r="CM92" s="2214"/>
      <c r="CN92" s="2214"/>
      <c r="CO92" s="2214"/>
      <c r="CP92" s="2214"/>
      <c r="CQ92" s="2214"/>
      <c r="CR92" s="2214"/>
      <c r="CS92" s="2214"/>
      <c r="CT92" s="2214"/>
      <c r="CU92" s="2214"/>
      <c r="CV92" s="2214"/>
      <c r="CW92" s="2214"/>
      <c r="CX92" s="2214"/>
      <c r="CY92" s="2214"/>
      <c r="CZ92" s="2214"/>
      <c r="DA92" s="2214"/>
      <c r="DB92" s="2214"/>
      <c r="DC92" s="2214"/>
      <c r="DD92" s="2214"/>
      <c r="DE92" s="2214"/>
      <c r="DF92" s="2214"/>
      <c r="DG92" s="2214"/>
      <c r="DH92" s="2214"/>
      <c r="DI92" s="2214"/>
      <c r="DJ92" s="2214"/>
      <c r="DK92" s="2214"/>
      <c r="DL92" s="2214"/>
      <c r="DM92" s="2214"/>
      <c r="DN92" s="2214"/>
      <c r="DO92" s="2214"/>
      <c r="DP92" s="2233"/>
      <c r="DQ92" s="2235"/>
      <c r="DR92" s="2365"/>
      <c r="DS92" s="2214"/>
      <c r="DT92" s="2217"/>
      <c r="DU92" s="2365"/>
      <c r="DV92" s="2235"/>
      <c r="DW92" s="2229">
        <f>SUM(DW91:EE91)-ED91+ED91/1000</f>
        <v>0.13850000000000001</v>
      </c>
      <c r="DX92" s="2230"/>
      <c r="DY92" s="2230"/>
      <c r="DZ92" s="2230"/>
      <c r="EA92" s="2230"/>
      <c r="EB92" s="2230"/>
      <c r="EC92" s="2230"/>
      <c r="ED92" s="2230"/>
      <c r="EE92" s="2231"/>
      <c r="EF92" s="2371"/>
      <c r="EG92" s="2235"/>
      <c r="EH92" s="2363"/>
      <c r="EI92" s="2209"/>
      <c r="EJ92" s="2209"/>
      <c r="EK92" s="2209"/>
      <c r="EL92" s="2209"/>
      <c r="EM92" s="2209"/>
      <c r="EN92" s="2209"/>
      <c r="EO92" s="2209"/>
      <c r="EP92" s="2209"/>
      <c r="EQ92" s="2373"/>
      <c r="ER92" s="2229">
        <f>SUM(ER91:EV91)</f>
        <v>18.48442857142857</v>
      </c>
      <c r="ES92" s="2230"/>
      <c r="ET92" s="2230"/>
      <c r="EU92" s="2230"/>
      <c r="EV92" s="2376"/>
      <c r="EW92" s="2209"/>
      <c r="EX92" s="2214"/>
      <c r="EY92" s="2214"/>
      <c r="EZ92" s="2209"/>
      <c r="FA92" s="2384"/>
      <c r="FB92" s="2382"/>
      <c r="FC92" s="2214"/>
      <c r="FD92" s="2214"/>
      <c r="FE92" s="2214"/>
      <c r="FF92" s="2214"/>
      <c r="FG92" s="2214"/>
      <c r="FH92" s="2214"/>
      <c r="FI92" s="2214"/>
      <c r="FJ92" s="2214"/>
      <c r="FK92" s="2214"/>
      <c r="FL92" s="2214"/>
      <c r="FM92" s="2214"/>
      <c r="FN92" s="2214"/>
      <c r="FO92" s="2214"/>
      <c r="FP92" s="2214"/>
      <c r="FQ92" s="2214"/>
      <c r="FR92" s="2214"/>
      <c r="FS92" s="2214"/>
      <c r="FT92" s="2214"/>
      <c r="FU92" s="2214"/>
      <c r="FV92" s="2214"/>
      <c r="FW92" s="2214"/>
      <c r="FX92" s="2214"/>
      <c r="FY92" s="2214"/>
      <c r="FZ92" s="2214"/>
      <c r="GA92" s="2214"/>
      <c r="GB92" s="2214"/>
      <c r="GC92" s="2214"/>
      <c r="GD92" s="2214"/>
      <c r="GE92" s="2214"/>
      <c r="GF92" s="2214"/>
      <c r="GG92" s="2214"/>
      <c r="GH92" s="2214"/>
      <c r="GI92" s="2214"/>
      <c r="GJ92" s="2214"/>
      <c r="GK92" s="2214"/>
      <c r="GL92" s="2214"/>
      <c r="GM92" s="2235"/>
      <c r="GN92" s="2214"/>
      <c r="GO92" s="2214"/>
      <c r="GP92" s="2214"/>
      <c r="GQ92" s="2214"/>
      <c r="GR92" s="2214"/>
      <c r="GS92" s="2214"/>
      <c r="GT92" s="2214"/>
      <c r="GU92" s="2214"/>
      <c r="GV92" s="2214"/>
      <c r="GW92" s="2214"/>
      <c r="GX92" s="2214"/>
      <c r="GY92" s="2214"/>
      <c r="GZ92" s="2214"/>
      <c r="HA92" s="2214"/>
      <c r="HB92" s="2214"/>
      <c r="HC92" s="2214"/>
      <c r="HD92" s="2214"/>
      <c r="HE92" s="2214"/>
      <c r="HF92" s="2214"/>
      <c r="HG92" s="2214"/>
      <c r="HH92" s="2214"/>
      <c r="HI92" s="2214"/>
      <c r="HJ92" s="2214"/>
      <c r="HK92" s="2214"/>
      <c r="HL92" s="2214"/>
      <c r="HM92" s="2214"/>
      <c r="HN92" s="2214"/>
      <c r="HO92" s="2214"/>
      <c r="HP92" s="2214"/>
      <c r="HQ92" s="2214"/>
      <c r="HR92" s="2214"/>
      <c r="HS92" s="2214"/>
      <c r="HT92" s="2214"/>
      <c r="HU92" s="2214"/>
      <c r="HV92" s="2214"/>
      <c r="HW92" s="2214"/>
      <c r="HX92" s="2214"/>
      <c r="HY92" s="2214"/>
      <c r="HZ92" s="2214"/>
      <c r="IA92" s="2214"/>
      <c r="IB92" s="2214"/>
      <c r="IC92" s="2214"/>
      <c r="ID92" s="2214"/>
      <c r="IE92" s="2214"/>
      <c r="IF92" s="2214"/>
      <c r="IG92" s="2214"/>
      <c r="IH92" s="2214"/>
      <c r="II92" s="2214"/>
      <c r="IJ92" s="2214"/>
      <c r="IK92" s="2214"/>
      <c r="IL92" s="2217"/>
      <c r="IM92" s="2277"/>
      <c r="IN92" s="2214"/>
      <c r="IO92" s="2214"/>
      <c r="IP92" s="2214"/>
      <c r="IQ92" s="2214"/>
      <c r="IR92" s="2214"/>
      <c r="IS92" s="2214"/>
      <c r="IT92" s="2214"/>
      <c r="IU92" s="2214"/>
      <c r="IV92" s="2214"/>
      <c r="IW92" s="2214"/>
      <c r="IX92" s="2214"/>
      <c r="IY92" s="2214"/>
      <c r="IZ92" s="2214"/>
      <c r="JA92" s="2214"/>
      <c r="JB92" s="2214"/>
      <c r="JC92" s="2214"/>
      <c r="JD92" s="2214"/>
      <c r="JE92" s="2214"/>
      <c r="JF92" s="2214"/>
      <c r="JG92" s="2214"/>
      <c r="JH92" s="2214"/>
      <c r="JI92" s="2235"/>
      <c r="JJ92" s="1097"/>
      <c r="JK92" s="1097"/>
      <c r="JL92" s="2214"/>
      <c r="JM92" s="2235"/>
      <c r="JN92" s="1097"/>
      <c r="JO92" s="1097"/>
      <c r="JP92" s="1097"/>
      <c r="JQ92" s="1097"/>
      <c r="JR92" s="1097"/>
      <c r="JS92" s="1097"/>
      <c r="JT92" s="1097"/>
      <c r="JU92" s="1097"/>
      <c r="JV92" s="1098"/>
      <c r="JW92" s="1098"/>
      <c r="JX92" s="1098"/>
      <c r="JY92" s="1098"/>
      <c r="JZ92" s="1098"/>
      <c r="KA92" s="1098"/>
      <c r="KB92" s="1098"/>
      <c r="KC92" s="1098"/>
      <c r="KD92" s="1097"/>
      <c r="KE92" s="1097"/>
      <c r="KF92" s="2386"/>
      <c r="KI92" s="221"/>
    </row>
    <row r="93" spans="1:295" s="7" customFormat="1" ht="18.75" customHeight="1" x14ac:dyDescent="0.2">
      <c r="A93" s="173"/>
      <c r="B93" s="177" t="s">
        <v>673</v>
      </c>
      <c r="C93" s="1241">
        <f>D93*1.2</f>
        <v>2513483.652737496</v>
      </c>
      <c r="D93" s="176">
        <f>'СМР В соп. ценах'!AF7</f>
        <v>2094569.7106145802</v>
      </c>
      <c r="E93" s="173"/>
      <c r="F93" s="145"/>
      <c r="G93" s="175"/>
      <c r="H93" s="175"/>
      <c r="I93" s="175"/>
      <c r="J93" s="175"/>
      <c r="K93" s="175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5"/>
      <c r="Y93" s="175"/>
      <c r="Z93" s="175"/>
      <c r="AA93" s="175"/>
      <c r="AB93" s="175"/>
      <c r="AC93" s="175"/>
      <c r="AD93" s="175"/>
      <c r="AE93" s="173"/>
      <c r="AF93" s="173"/>
      <c r="AG93" s="173"/>
      <c r="AH93" s="634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810"/>
      <c r="AV93" s="810"/>
      <c r="AW93" s="810"/>
      <c r="AX93" s="810"/>
      <c r="AY93" s="810"/>
      <c r="AZ93" s="810"/>
      <c r="BA93" s="810"/>
      <c r="BB93" s="810"/>
      <c r="BC93" s="810"/>
      <c r="BD93" s="810"/>
      <c r="BE93" s="810"/>
      <c r="BF93" s="810"/>
      <c r="BG93" s="810"/>
      <c r="BH93" s="810"/>
      <c r="BI93" s="810"/>
      <c r="BJ93" s="810"/>
      <c r="BK93" s="810"/>
      <c r="BL93" s="173"/>
      <c r="BM93" s="810"/>
      <c r="BN93" s="810"/>
      <c r="BO93" s="810"/>
      <c r="BP93" s="810"/>
      <c r="BQ93" s="810"/>
      <c r="BR93" s="810"/>
      <c r="BS93" s="810"/>
      <c r="BT93" s="810"/>
      <c r="BU93" s="810"/>
      <c r="BV93" s="810"/>
      <c r="BW93" s="810"/>
      <c r="BX93" s="810"/>
      <c r="BY93" s="810"/>
      <c r="BZ93" s="810"/>
      <c r="CA93" s="810"/>
      <c r="CB93" s="810"/>
      <c r="CC93" s="173"/>
      <c r="CD93" s="173"/>
      <c r="CE93" s="173"/>
      <c r="CF93" s="173"/>
      <c r="CG93" s="173"/>
      <c r="CH93" s="173"/>
      <c r="CI93" s="173"/>
      <c r="CJ93" s="173"/>
      <c r="CK93" s="173"/>
      <c r="CL93" s="173"/>
      <c r="CM93" s="173"/>
      <c r="CN93" s="173"/>
      <c r="CO93" s="173"/>
      <c r="CP93" s="173"/>
      <c r="CQ93" s="173"/>
      <c r="CR93" s="173"/>
      <c r="CS93" s="173"/>
      <c r="CT93" s="173"/>
      <c r="CU93" s="173"/>
      <c r="CV93" s="173"/>
      <c r="CW93" s="173"/>
      <c r="CX93" s="173"/>
      <c r="CY93" s="173"/>
      <c r="CZ93" s="173"/>
      <c r="DA93" s="173"/>
      <c r="DB93" s="173"/>
      <c r="DC93" s="173"/>
      <c r="DD93" s="173"/>
      <c r="DE93" s="173"/>
      <c r="DF93" s="173"/>
      <c r="DG93" s="173"/>
      <c r="DH93" s="173"/>
      <c r="DI93" s="173"/>
      <c r="DJ93" s="173"/>
      <c r="DK93" s="173"/>
      <c r="DL93" s="173"/>
      <c r="DM93" s="173"/>
      <c r="DN93" s="173"/>
      <c r="DO93" s="173"/>
      <c r="DP93" s="173"/>
      <c r="DQ93" s="173"/>
      <c r="DR93" s="173"/>
      <c r="DS93" s="173"/>
      <c r="DT93" s="173"/>
      <c r="DU93" s="173"/>
      <c r="DV93" s="173"/>
      <c r="DW93" s="2228"/>
      <c r="DX93" s="2228"/>
      <c r="DY93" s="2228"/>
      <c r="DZ93" s="2228"/>
      <c r="EA93" s="2228"/>
      <c r="EB93" s="2228"/>
      <c r="EC93" s="2228"/>
      <c r="ED93" s="2228"/>
      <c r="EE93" s="2228"/>
      <c r="EF93" s="173"/>
      <c r="EG93" s="173"/>
      <c r="EH93" s="173"/>
      <c r="EI93" s="173"/>
      <c r="EJ93" s="173"/>
      <c r="EK93" s="173"/>
      <c r="EL93" s="173"/>
      <c r="EM93" s="173"/>
      <c r="EN93" s="173"/>
      <c r="EO93" s="173"/>
      <c r="EP93" s="173"/>
      <c r="EQ93" s="173"/>
      <c r="ER93" s="173"/>
      <c r="ES93" s="173"/>
      <c r="ET93" s="173"/>
      <c r="EU93" s="173"/>
      <c r="EV93" s="173"/>
      <c r="EW93" s="173"/>
      <c r="EX93" s="464"/>
      <c r="EY93" s="173"/>
      <c r="EZ93" s="173"/>
      <c r="FA93" s="173"/>
      <c r="FB93" s="173"/>
      <c r="FC93" s="173"/>
      <c r="FD93" s="173"/>
      <c r="FE93" s="173"/>
      <c r="FF93" s="173"/>
      <c r="FH93" s="460"/>
      <c r="FI93" s="460"/>
      <c r="FJ93" s="460"/>
      <c r="JV93" s="80"/>
      <c r="JW93" s="80"/>
      <c r="JX93" s="80"/>
      <c r="JY93" s="80"/>
      <c r="JZ93" s="80"/>
      <c r="KA93" s="80"/>
      <c r="KB93" s="80"/>
      <c r="KC93" s="80"/>
      <c r="KF93" s="464"/>
      <c r="KI93" s="221"/>
    </row>
    <row r="94" spans="1:295" s="7" customFormat="1" ht="12.75" x14ac:dyDescent="0.2">
      <c r="A94" s="173"/>
      <c r="B94" s="473" t="s">
        <v>835</v>
      </c>
      <c r="C94" s="174"/>
      <c r="D94" s="208">
        <f>D91/D93</f>
        <v>1.054214129240358</v>
      </c>
      <c r="E94" s="173"/>
      <c r="F94" s="2221"/>
      <c r="G94" s="2221"/>
      <c r="H94" s="2221"/>
      <c r="I94" s="2221"/>
      <c r="J94" s="2221"/>
      <c r="K94" s="2221"/>
      <c r="L94" s="2221"/>
      <c r="M94" s="2221"/>
      <c r="N94" s="2221"/>
      <c r="O94" s="2221"/>
      <c r="P94" s="2221"/>
      <c r="Q94" s="2221"/>
      <c r="R94" s="2221"/>
      <c r="S94" s="2221"/>
      <c r="T94" s="2221"/>
      <c r="U94" s="2221"/>
      <c r="V94" s="2221"/>
      <c r="W94" s="808"/>
      <c r="X94" s="809"/>
      <c r="Y94" s="809"/>
      <c r="Z94" s="809"/>
      <c r="AA94" s="809"/>
      <c r="AB94" s="809"/>
      <c r="AC94" s="809"/>
      <c r="AD94" s="809"/>
      <c r="AE94" s="809"/>
      <c r="AF94" s="809"/>
      <c r="AG94" s="809"/>
      <c r="AH94" s="809"/>
      <c r="AI94" s="809"/>
      <c r="AJ94" s="809"/>
      <c r="AK94" s="809"/>
      <c r="AL94" s="809"/>
      <c r="AM94" s="809"/>
      <c r="AN94" s="809"/>
      <c r="AO94" s="809"/>
      <c r="AP94" s="809"/>
      <c r="AQ94" s="809"/>
      <c r="AR94" s="809"/>
      <c r="AS94" s="809"/>
      <c r="AT94" s="809"/>
      <c r="AU94" s="809"/>
      <c r="AV94" s="809"/>
      <c r="AW94" s="809"/>
      <c r="AX94" s="809"/>
      <c r="AY94" s="809"/>
      <c r="AZ94" s="809"/>
      <c r="BA94" s="809"/>
      <c r="BB94" s="809"/>
      <c r="BC94" s="809"/>
      <c r="BD94" s="809"/>
      <c r="BE94" s="809"/>
      <c r="BF94" s="809"/>
      <c r="BG94" s="809"/>
      <c r="BH94" s="809"/>
      <c r="BI94" s="809"/>
      <c r="BJ94" s="809"/>
      <c r="BK94" s="809"/>
      <c r="BL94" s="809"/>
      <c r="BM94" s="809"/>
      <c r="BN94" s="809"/>
      <c r="BO94" s="809"/>
      <c r="BP94" s="809"/>
      <c r="BQ94" s="809"/>
      <c r="BR94" s="809"/>
      <c r="BS94" s="809"/>
      <c r="BT94" s="809"/>
      <c r="BU94" s="809"/>
      <c r="BV94" s="809"/>
      <c r="BW94" s="809"/>
      <c r="BX94" s="809"/>
      <c r="BY94" s="809"/>
      <c r="BZ94" s="809"/>
      <c r="CA94" s="809"/>
      <c r="CB94" s="809"/>
      <c r="CC94" s="173"/>
      <c r="CD94" s="173"/>
      <c r="CE94" s="173"/>
      <c r="CF94" s="173"/>
      <c r="CG94" s="173"/>
      <c r="CH94" s="173"/>
      <c r="CI94" s="173"/>
      <c r="CJ94" s="173"/>
      <c r="CK94" s="173"/>
      <c r="CL94" s="173"/>
      <c r="CM94" s="173"/>
      <c r="CN94" s="173"/>
      <c r="CO94" s="173"/>
      <c r="CP94" s="173"/>
      <c r="CQ94" s="173"/>
      <c r="CR94" s="173"/>
      <c r="CS94" s="173"/>
      <c r="CT94" s="173"/>
      <c r="CU94" s="173"/>
      <c r="CV94" s="173"/>
      <c r="CW94" s="173"/>
      <c r="CX94" s="173"/>
      <c r="CY94" s="173"/>
      <c r="CZ94" s="173"/>
      <c r="DA94" s="173"/>
      <c r="DB94" s="173"/>
      <c r="DC94" s="173"/>
      <c r="DD94" s="173"/>
      <c r="DE94" s="173"/>
      <c r="DF94" s="173"/>
      <c r="DG94" s="173"/>
      <c r="DH94" s="173"/>
      <c r="DI94" s="173"/>
      <c r="DJ94" s="173"/>
      <c r="DK94" s="173"/>
      <c r="DL94" s="173"/>
      <c r="DM94" s="173"/>
      <c r="DN94" s="173"/>
      <c r="DO94" s="173"/>
      <c r="DP94" s="173"/>
      <c r="DQ94" s="173"/>
      <c r="DR94" s="173"/>
      <c r="DS94" s="173"/>
      <c r="DT94" s="173"/>
      <c r="DU94" s="173"/>
      <c r="DV94" s="173"/>
      <c r="DW94" s="173"/>
      <c r="DX94" s="173"/>
      <c r="EA94" s="173"/>
      <c r="EB94" s="173"/>
      <c r="EC94" s="173"/>
      <c r="ED94" s="173"/>
      <c r="EE94" s="173"/>
      <c r="EF94" s="173"/>
      <c r="EG94" s="173"/>
      <c r="EH94" s="173"/>
      <c r="EI94" s="173"/>
      <c r="EJ94" s="173"/>
      <c r="EK94" s="173"/>
      <c r="EL94" s="173"/>
      <c r="EM94" s="173"/>
      <c r="EN94" s="173"/>
      <c r="EO94" s="173"/>
      <c r="EP94" s="173"/>
      <c r="EQ94" s="173"/>
      <c r="ER94" s="173"/>
      <c r="ES94" s="173"/>
      <c r="ET94" s="173"/>
      <c r="EU94" s="173"/>
      <c r="EV94" s="173"/>
      <c r="EW94" s="173"/>
      <c r="EY94" s="173"/>
      <c r="EZ94" s="173"/>
      <c r="FA94" s="173"/>
      <c r="FB94" s="173"/>
      <c r="FC94" s="173"/>
      <c r="FD94" s="173"/>
      <c r="FE94" s="173"/>
      <c r="FF94" s="173"/>
      <c r="FH94" s="460"/>
      <c r="FI94" s="460"/>
      <c r="FJ94" s="460"/>
      <c r="JV94" s="80"/>
      <c r="JW94" s="80"/>
      <c r="JX94" s="80"/>
      <c r="JY94" s="80"/>
      <c r="JZ94" s="80"/>
      <c r="KA94" s="80"/>
      <c r="KB94" s="80"/>
      <c r="KC94" s="80"/>
      <c r="KF94" s="464"/>
      <c r="KI94" s="221"/>
    </row>
    <row r="95" spans="1:295" s="6" customFormat="1" ht="20.25" customHeight="1" x14ac:dyDescent="0.2">
      <c r="A95" s="3"/>
      <c r="B95" s="218"/>
      <c r="C95" s="219">
        <f>81260.77-29651.69</f>
        <v>51609.08</v>
      </c>
      <c r="D95" s="219"/>
      <c r="E95" s="9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365"/>
      <c r="Y95" s="365"/>
      <c r="Z95" s="365"/>
      <c r="AA95" s="365"/>
      <c r="AB95" s="365"/>
      <c r="AC95" s="365"/>
      <c r="AD95" s="365"/>
      <c r="AE95" s="366"/>
      <c r="AF95" s="367">
        <v>1.38</v>
      </c>
      <c r="AG95" s="367">
        <v>1.38</v>
      </c>
      <c r="AH95" s="367">
        <v>1.38</v>
      </c>
      <c r="AI95" s="367"/>
      <c r="AJ95" s="367">
        <v>1.41</v>
      </c>
      <c r="AK95" s="367">
        <v>1.39</v>
      </c>
      <c r="AL95" s="367"/>
      <c r="AM95" s="367">
        <v>1.53</v>
      </c>
      <c r="AN95" s="367"/>
      <c r="AO95" s="366"/>
      <c r="AP95" s="367"/>
      <c r="AQ95" s="366"/>
      <c r="AR95" s="365"/>
      <c r="AS95" s="365"/>
      <c r="AT95" s="365"/>
      <c r="AU95" s="367">
        <v>1.41</v>
      </c>
      <c r="AV95" s="367">
        <v>1.36</v>
      </c>
      <c r="AW95" s="367">
        <v>1.38</v>
      </c>
      <c r="AX95" s="367">
        <v>1.38</v>
      </c>
      <c r="AY95" s="367">
        <v>1.38</v>
      </c>
      <c r="AZ95" s="365">
        <v>1.37</v>
      </c>
      <c r="BA95" s="365">
        <v>1.37</v>
      </c>
      <c r="BB95" s="367">
        <v>1.51</v>
      </c>
      <c r="BC95" s="367">
        <v>1.52</v>
      </c>
      <c r="BD95" s="365">
        <v>1.43</v>
      </c>
      <c r="BE95" s="365">
        <v>1.43</v>
      </c>
      <c r="BF95" s="365">
        <v>1.45</v>
      </c>
      <c r="BG95" s="365">
        <v>1.43</v>
      </c>
      <c r="BH95" s="365">
        <v>1.41</v>
      </c>
      <c r="BI95" s="365"/>
      <c r="BJ95" s="367">
        <v>1.39</v>
      </c>
      <c r="BK95" s="368">
        <f>BJ91+BL91</f>
        <v>139.33539999999988</v>
      </c>
      <c r="BL95" s="367">
        <v>1.53</v>
      </c>
      <c r="BM95" s="365"/>
      <c r="BN95" s="367">
        <v>1.38</v>
      </c>
      <c r="BO95" s="367">
        <v>1.43</v>
      </c>
      <c r="BP95" s="367">
        <v>1.53</v>
      </c>
      <c r="BQ95" s="366"/>
      <c r="BR95" s="367">
        <v>1.39</v>
      </c>
      <c r="BS95" s="368"/>
      <c r="BT95" s="367">
        <v>1.53</v>
      </c>
      <c r="BU95" s="367">
        <v>1.42</v>
      </c>
      <c r="BV95" s="367">
        <v>1.6</v>
      </c>
      <c r="BW95" s="367">
        <v>1.6</v>
      </c>
      <c r="BX95" s="367">
        <v>1.6</v>
      </c>
      <c r="BY95" s="367">
        <v>1.6</v>
      </c>
      <c r="BZ95" s="367">
        <v>1.6</v>
      </c>
      <c r="CA95" s="367"/>
      <c r="CB95" s="367"/>
      <c r="CC95" s="48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Y95" s="11"/>
      <c r="EZ95" s="11"/>
      <c r="FA95" s="11"/>
      <c r="FB95" s="11"/>
      <c r="FC95" s="11"/>
      <c r="FD95" s="11"/>
      <c r="FE95" s="11"/>
      <c r="FF95" s="11"/>
      <c r="FH95" s="438"/>
      <c r="FI95" s="438"/>
      <c r="FJ95" s="438"/>
      <c r="JV95" s="81"/>
      <c r="JW95" s="81"/>
      <c r="JX95" s="81"/>
      <c r="JY95" s="81"/>
      <c r="JZ95" s="81"/>
      <c r="KA95" s="81"/>
      <c r="KB95" s="81"/>
      <c r="KC95" s="81"/>
      <c r="KF95" s="1073"/>
      <c r="KI95" s="221"/>
    </row>
    <row r="96" spans="1:295" ht="18.75" customHeight="1" x14ac:dyDescent="0.25">
      <c r="A96" s="1"/>
      <c r="B96" s="1"/>
      <c r="C96" s="1"/>
      <c r="D96" s="1" t="e">
        <f>D85/(Y85+AB85)*#REF!</f>
        <v>#DIV/0!</v>
      </c>
      <c r="E96" s="1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>
        <f>CA75/2</f>
        <v>13.994399999999999</v>
      </c>
      <c r="CB96" s="1">
        <f>CB75/4*3</f>
        <v>295.79660999999999</v>
      </c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Y96" s="1"/>
      <c r="EZ96" s="1"/>
      <c r="FA96" s="1"/>
      <c r="FB96" s="1"/>
      <c r="FC96" s="1"/>
      <c r="FD96" s="1"/>
      <c r="FE96" s="1"/>
      <c r="FF96" s="1"/>
      <c r="FG96" s="1"/>
      <c r="FH96" s="439"/>
      <c r="FI96" s="439"/>
      <c r="FJ96" s="439"/>
      <c r="FK96" s="1"/>
      <c r="FL96" s="1"/>
      <c r="FM96" s="1"/>
      <c r="FN96" s="1"/>
      <c r="FO96" s="1"/>
      <c r="FP96" s="1"/>
      <c r="FQ96" s="1"/>
      <c r="JV96" s="4"/>
      <c r="JW96" s="4"/>
      <c r="JX96" s="4"/>
      <c r="JY96" s="4"/>
      <c r="JZ96" s="4"/>
      <c r="KA96" s="4"/>
      <c r="KB96" s="4"/>
      <c r="KC96" s="4"/>
      <c r="KI96" s="4"/>
    </row>
    <row r="97" spans="1:295" ht="18.75" customHeight="1" x14ac:dyDescent="0.25">
      <c r="A97" s="1"/>
      <c r="B97" s="1"/>
      <c r="C97" s="1"/>
      <c r="D97" s="1"/>
      <c r="E97" s="1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15">
        <v>1524.4256</v>
      </c>
      <c r="AG97" s="2215"/>
      <c r="AH97" s="2215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>
        <f>AV29*AV95+AY29*AY95+AZ29*AZ95</f>
        <v>0</v>
      </c>
      <c r="AW97" s="1"/>
      <c r="AX97" s="1"/>
      <c r="AY97" s="1">
        <f>111.2+AY31</f>
        <v>634.11699999999996</v>
      </c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Y97" s="1"/>
      <c r="EZ97" s="1"/>
      <c r="FA97" s="1"/>
      <c r="FB97" s="1"/>
      <c r="FC97" s="1"/>
      <c r="FD97" s="1"/>
      <c r="FE97" s="1"/>
      <c r="FF97" s="1"/>
      <c r="FG97" s="1"/>
      <c r="FH97" s="439"/>
      <c r="FI97" s="439"/>
      <c r="FJ97" s="439"/>
      <c r="FK97" s="1"/>
      <c r="FL97" s="1"/>
      <c r="FM97" s="1"/>
      <c r="FN97" s="1"/>
      <c r="FO97" s="1"/>
      <c r="FP97" s="1"/>
      <c r="FQ97" s="1"/>
      <c r="JV97" s="4"/>
      <c r="JW97" s="4"/>
      <c r="JX97" s="4"/>
      <c r="JY97" s="4"/>
      <c r="JZ97" s="4"/>
      <c r="KA97" s="4"/>
      <c r="KB97" s="4"/>
      <c r="KC97" s="4"/>
      <c r="KI97" s="4"/>
    </row>
    <row r="98" spans="1:295" ht="18.75" customHeight="1" x14ac:dyDescent="0.25">
      <c r="A98" s="1"/>
      <c r="B98" s="1"/>
      <c r="C98" s="1"/>
      <c r="D98" s="1"/>
      <c r="E98" s="1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Y98" s="1"/>
      <c r="EZ98" s="1"/>
      <c r="FA98" s="1"/>
      <c r="FB98" s="1"/>
      <c r="FC98" s="1"/>
      <c r="FD98" s="1"/>
      <c r="FE98" s="1"/>
      <c r="FF98" s="1"/>
      <c r="FG98" s="1"/>
      <c r="FH98" s="439"/>
      <c r="FI98" s="439"/>
      <c r="FJ98" s="439"/>
      <c r="FK98" s="1"/>
      <c r="FL98" s="1"/>
      <c r="FM98" s="1"/>
      <c r="FN98" s="1"/>
      <c r="FO98" s="1"/>
      <c r="FP98" s="1"/>
      <c r="FQ98" s="1"/>
      <c r="JV98" s="4"/>
      <c r="JW98" s="4"/>
      <c r="JX98" s="4"/>
      <c r="JY98" s="4"/>
      <c r="JZ98" s="4"/>
      <c r="KA98" s="4"/>
      <c r="KB98" s="4"/>
      <c r="KC98" s="4"/>
      <c r="KI98" s="4"/>
    </row>
    <row r="99" spans="1:295" ht="18.75" customHeight="1" x14ac:dyDescent="0.25">
      <c r="A99" s="1"/>
      <c r="B99" s="1"/>
      <c r="C99" s="1"/>
      <c r="D99" s="1"/>
      <c r="E99" s="1"/>
      <c r="F99" s="17"/>
      <c r="G99" s="17"/>
      <c r="H99" s="17"/>
      <c r="I99" s="17"/>
      <c r="J99" s="17"/>
      <c r="K99" s="17" t="s">
        <v>505</v>
      </c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"/>
      <c r="W99" s="1"/>
      <c r="X99" s="1"/>
      <c r="Y99" s="854">
        <f>2.1*(100.4+25.2*3)</f>
        <v>369.6</v>
      </c>
      <c r="Z99" s="854"/>
      <c r="AA99" s="854"/>
      <c r="AB99" s="854"/>
      <c r="AC99" s="854"/>
      <c r="AD99" s="854"/>
      <c r="AE99" s="427">
        <f>6.02/100*Y99+4.03/100*AB99+6.89/100*AD99</f>
        <v>22.249919999999999</v>
      </c>
      <c r="AF99" s="650"/>
      <c r="AG99" s="651"/>
      <c r="AH99" s="644">
        <f>19.19/$AH$95/100*AB99</f>
        <v>0</v>
      </c>
      <c r="AI99" s="644"/>
      <c r="AJ99" s="644">
        <f>32.89/$AJ$95/100*Y99</f>
        <v>86.21378723404257</v>
      </c>
      <c r="AK99" s="644">
        <f>23.99/$AK$95/100*AB99</f>
        <v>0</v>
      </c>
      <c r="AL99" s="644"/>
      <c r="AM99" s="645">
        <f>61.09/$AM$95/100*Y99+52.78/$AM$95/100*AB99+93.11/100/$AM$95*AD99</f>
        <v>147.57427450980396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Y99" s="1"/>
      <c r="EZ99" s="1"/>
      <c r="FA99" s="1"/>
      <c r="FB99" s="1"/>
      <c r="FC99" s="1"/>
      <c r="FD99" s="1"/>
      <c r="FE99" s="1"/>
      <c r="FF99" s="1"/>
      <c r="FG99" s="1"/>
      <c r="FH99" s="439"/>
      <c r="FI99" s="439"/>
      <c r="FJ99" s="439"/>
      <c r="FK99" s="1"/>
      <c r="FL99" s="1"/>
      <c r="FM99" s="1"/>
      <c r="FN99" s="1"/>
      <c r="FO99" s="1"/>
      <c r="FP99" s="1"/>
      <c r="FQ99" s="1"/>
      <c r="JV99" s="4"/>
      <c r="JW99" s="4"/>
      <c r="JX99" s="4"/>
      <c r="JY99" s="4"/>
      <c r="JZ99" s="4"/>
      <c r="KA99" s="4"/>
      <c r="KB99" s="4"/>
      <c r="KC99" s="4"/>
      <c r="KI99" s="4"/>
    </row>
    <row r="100" spans="1:295" ht="18.75" customHeight="1" x14ac:dyDescent="0.25">
      <c r="A100" s="1"/>
      <c r="B100" s="1"/>
      <c r="C100" s="1"/>
      <c r="D100" s="1"/>
      <c r="E100" s="1"/>
      <c r="F100" s="17"/>
      <c r="G100" s="17"/>
      <c r="H100" s="17"/>
      <c r="I100" s="17"/>
      <c r="J100" s="17"/>
      <c r="K100" s="17" t="s">
        <v>506</v>
      </c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"/>
      <c r="W100" s="1"/>
      <c r="X100" s="1"/>
      <c r="Y100" s="854">
        <f>105.56+32.128</f>
        <v>137.68799999999999</v>
      </c>
      <c r="Z100" s="854"/>
      <c r="AA100" s="854"/>
      <c r="AB100" s="854">
        <v>47.26</v>
      </c>
      <c r="AC100" s="854"/>
      <c r="AD100" s="854"/>
      <c r="AE100" s="427">
        <f>6.02/100*Y100+4.03/100*AB100+6.89/100*AD100</f>
        <v>10.193395599999999</v>
      </c>
      <c r="AF100" s="650"/>
      <c r="AG100" s="651"/>
      <c r="AH100" s="644">
        <f>19.19/$AH$95/100*AB100</f>
        <v>6.5718797101449278</v>
      </c>
      <c r="AI100" s="644"/>
      <c r="AJ100" s="644">
        <f>32.89/$AJ$95/100*Y100</f>
        <v>32.117434893617023</v>
      </c>
      <c r="AK100" s="644">
        <f>23.99/$AK$95/100*AB100</f>
        <v>8.1565999999999992</v>
      </c>
      <c r="AL100" s="644"/>
      <c r="AM100" s="645">
        <f>61.09/$AM$95/100*Y100+52.78/$AM$95/100*AB100+93.11/100/$AM$95*AD100</f>
        <v>71.279364183006535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Y100" s="1"/>
      <c r="EZ100" s="1"/>
      <c r="FA100" s="1"/>
      <c r="FB100" s="1"/>
      <c r="FC100" s="1"/>
      <c r="FD100" s="1"/>
      <c r="FE100" s="1"/>
      <c r="FF100" s="1"/>
      <c r="FG100" s="1"/>
      <c r="FH100" s="439"/>
      <c r="FI100" s="439"/>
      <c r="FJ100" s="439"/>
      <c r="FK100" s="1"/>
      <c r="FL100" s="1"/>
      <c r="FM100" s="1"/>
      <c r="FN100" s="1"/>
      <c r="FO100" s="1"/>
      <c r="FP100" s="1"/>
      <c r="FQ100" s="1"/>
      <c r="JV100" s="4"/>
      <c r="JW100" s="4"/>
      <c r="JX100" s="4"/>
      <c r="JY100" s="4"/>
      <c r="JZ100" s="4"/>
      <c r="KA100" s="4"/>
      <c r="KB100" s="4"/>
      <c r="KC100" s="4"/>
      <c r="KI100" s="4"/>
    </row>
    <row r="101" spans="1:295" x14ac:dyDescent="0.25">
      <c r="J101" s="2210" t="s">
        <v>256</v>
      </c>
      <c r="K101" s="2210"/>
      <c r="Y101" s="220">
        <f>SUM(Y99:Y100)</f>
        <v>507.28800000000001</v>
      </c>
      <c r="AB101" s="220">
        <f>SUM(AB99:AB100)</f>
        <v>47.26</v>
      </c>
      <c r="AE101" s="855">
        <f>SUM(AE99:AE100)</f>
        <v>32.443315599999998</v>
      </c>
    </row>
  </sheetData>
  <mergeCells count="513">
    <mergeCell ref="KF91:KF92"/>
    <mergeCell ref="DC3:DC5"/>
    <mergeCell ref="DC91:DC92"/>
    <mergeCell ref="DD3:DD5"/>
    <mergeCell ref="DD91:DD92"/>
    <mergeCell ref="DV2:DV5"/>
    <mergeCell ref="IE91:IE92"/>
    <mergeCell ref="IF91:IF92"/>
    <mergeCell ref="IY91:IY92"/>
    <mergeCell ref="IZ91:IZ92"/>
    <mergeCell ref="JA91:JA92"/>
    <mergeCell ref="JB91:JB92"/>
    <mergeCell ref="JC91:JC92"/>
    <mergeCell ref="JD91:JD92"/>
    <mergeCell ref="JE91:JE92"/>
    <mergeCell ref="JF91:JF92"/>
    <mergeCell ref="IP91:IP92"/>
    <mergeCell ref="HX91:HX92"/>
    <mergeCell ref="HY91:HY92"/>
    <mergeCell ref="HZ91:HZ92"/>
    <mergeCell ref="ES3:ES5"/>
    <mergeCell ref="GK3:GK5"/>
    <mergeCell ref="GK91:GK92"/>
    <mergeCell ref="IG91:IG92"/>
    <mergeCell ref="CF91:CF92"/>
    <mergeCell ref="CG91:CG92"/>
    <mergeCell ref="CR3:CR5"/>
    <mergeCell ref="CS3:CS5"/>
    <mergeCell ref="CR91:CR92"/>
    <mergeCell ref="FX91:FX92"/>
    <mergeCell ref="FY91:FY92"/>
    <mergeCell ref="FZ91:FZ92"/>
    <mergeCell ref="FB91:FB92"/>
    <mergeCell ref="EW91:EW92"/>
    <mergeCell ref="FA91:FA92"/>
    <mergeCell ref="FB3:FB5"/>
    <mergeCell ref="CP3:CP5"/>
    <mergeCell ref="CP91:CP92"/>
    <mergeCell ref="DB3:DB5"/>
    <mergeCell ref="DL3:DL5"/>
    <mergeCell ref="DM3:DM5"/>
    <mergeCell ref="FD91:FD92"/>
    <mergeCell ref="FE91:FE92"/>
    <mergeCell ref="FF91:FF92"/>
    <mergeCell ref="EP91:EP92"/>
    <mergeCell ref="FC91:FC92"/>
    <mergeCell ref="EY91:EY92"/>
    <mergeCell ref="EN91:EN92"/>
    <mergeCell ref="IH91:IH92"/>
    <mergeCell ref="II91:II92"/>
    <mergeCell ref="IJ91:IJ92"/>
    <mergeCell ref="IK91:IK92"/>
    <mergeCell ref="IL91:IL92"/>
    <mergeCell ref="JH91:JH92"/>
    <mergeCell ref="JI91:JI92"/>
    <mergeCell ref="JG91:JG92"/>
    <mergeCell ref="IM91:IM92"/>
    <mergeCell ref="IN91:IN92"/>
    <mergeCell ref="IO91:IO92"/>
    <mergeCell ref="IX91:IX92"/>
    <mergeCell ref="IQ91:IQ92"/>
    <mergeCell ref="IR91:IR92"/>
    <mergeCell ref="IS91:IS92"/>
    <mergeCell ref="IT91:IT92"/>
    <mergeCell ref="IU91:IU92"/>
    <mergeCell ref="IV91:IV92"/>
    <mergeCell ref="IW91:IW92"/>
    <mergeCell ref="AU2:CB2"/>
    <mergeCell ref="CH3:CH5"/>
    <mergeCell ref="JL91:JL92"/>
    <mergeCell ref="JM91:JM92"/>
    <mergeCell ref="GQ2:JM2"/>
    <mergeCell ref="ER2:EV2"/>
    <mergeCell ref="ER92:EV92"/>
    <mergeCell ref="EX3:EX5"/>
    <mergeCell ref="EX91:EX92"/>
    <mergeCell ref="GM3:GM5"/>
    <mergeCell ref="GM91:GM92"/>
    <mergeCell ref="GJ91:GJ92"/>
    <mergeCell ref="GL91:GL92"/>
    <mergeCell ref="FR91:FR92"/>
    <mergeCell ref="FS91:FS92"/>
    <mergeCell ref="FT91:FT92"/>
    <mergeCell ref="FU91:FU92"/>
    <mergeCell ref="FV91:FV92"/>
    <mergeCell ref="FW91:FW92"/>
    <mergeCell ref="DF3:DF5"/>
    <mergeCell ref="DF91:DF92"/>
    <mergeCell ref="DU91:DU92"/>
    <mergeCell ref="DV91:DV92"/>
    <mergeCell ref="DU2:DU5"/>
    <mergeCell ref="IC91:IC92"/>
    <mergeCell ref="ID91:ID92"/>
    <mergeCell ref="HO91:HO92"/>
    <mergeCell ref="HW91:HW92"/>
    <mergeCell ref="HM91:HM92"/>
    <mergeCell ref="HN91:HN92"/>
    <mergeCell ref="GU91:GU92"/>
    <mergeCell ref="GV91:GV92"/>
    <mergeCell ref="GW91:GW92"/>
    <mergeCell ref="GX91:GX92"/>
    <mergeCell ref="GY91:GY92"/>
    <mergeCell ref="GZ91:GZ92"/>
    <mergeCell ref="HA91:HA92"/>
    <mergeCell ref="HB91:HB92"/>
    <mergeCell ref="HC91:HC92"/>
    <mergeCell ref="HL91:HL92"/>
    <mergeCell ref="HD91:HD92"/>
    <mergeCell ref="HE91:HE92"/>
    <mergeCell ref="HP91:HP92"/>
    <mergeCell ref="HQ91:HQ92"/>
    <mergeCell ref="HR91:HR92"/>
    <mergeCell ref="HS91:HS92"/>
    <mergeCell ref="HT91:HT92"/>
    <mergeCell ref="HU91:HU92"/>
    <mergeCell ref="HV91:HV92"/>
    <mergeCell ref="HF91:HF92"/>
    <mergeCell ref="HG91:HG92"/>
    <mergeCell ref="HH91:HH92"/>
    <mergeCell ref="HI91:HI92"/>
    <mergeCell ref="HJ91:HJ92"/>
    <mergeCell ref="HK91:HK92"/>
    <mergeCell ref="IA91:IA92"/>
    <mergeCell ref="IB91:IB92"/>
    <mergeCell ref="GP91:GP92"/>
    <mergeCell ref="GQ91:GQ92"/>
    <mergeCell ref="GR91:GR92"/>
    <mergeCell ref="GS91:GS92"/>
    <mergeCell ref="GT91:GT92"/>
    <mergeCell ref="GA91:GA92"/>
    <mergeCell ref="GB91:GB92"/>
    <mergeCell ref="GC91:GC92"/>
    <mergeCell ref="GD91:GD92"/>
    <mergeCell ref="GE91:GE92"/>
    <mergeCell ref="GF91:GF92"/>
    <mergeCell ref="GG91:GG92"/>
    <mergeCell ref="GH91:GH92"/>
    <mergeCell ref="GI91:GI92"/>
    <mergeCell ref="GN91:GN92"/>
    <mergeCell ref="GO91:GO92"/>
    <mergeCell ref="EQ91:EQ92"/>
    <mergeCell ref="EO91:EO92"/>
    <mergeCell ref="FP91:FP92"/>
    <mergeCell ref="FQ91:FQ92"/>
    <mergeCell ref="FG91:FG92"/>
    <mergeCell ref="FH91:FH92"/>
    <mergeCell ref="FK91:FK92"/>
    <mergeCell ref="FL91:FL92"/>
    <mergeCell ref="FM91:FM92"/>
    <mergeCell ref="FN91:FN92"/>
    <mergeCell ref="FO91:FO92"/>
    <mergeCell ref="GP3:GP5"/>
    <mergeCell ref="GA3:GA5"/>
    <mergeCell ref="FO3:FO5"/>
    <mergeCell ref="FN3:FN5"/>
    <mergeCell ref="FE3:FE5"/>
    <mergeCell ref="FD3:FD5"/>
    <mergeCell ref="FG3:FG5"/>
    <mergeCell ref="FF3:FF5"/>
    <mergeCell ref="FC3:FC5"/>
    <mergeCell ref="FP3:FP5"/>
    <mergeCell ref="FL3:FL5"/>
    <mergeCell ref="FH3:FH5"/>
    <mergeCell ref="FM3:FM5"/>
    <mergeCell ref="FK3:FK5"/>
    <mergeCell ref="GL3:GL5"/>
    <mergeCell ref="GI3:GI5"/>
    <mergeCell ref="GH3:GH5"/>
    <mergeCell ref="GE3:GE5"/>
    <mergeCell ref="FZ3:FZ5"/>
    <mergeCell ref="FY3:FY5"/>
    <mergeCell ref="GC3:GC5"/>
    <mergeCell ref="DG3:DG5"/>
    <mergeCell ref="CD91:CD92"/>
    <mergeCell ref="EV3:EV5"/>
    <mergeCell ref="DZ3:DZ5"/>
    <mergeCell ref="EC3:EC5"/>
    <mergeCell ref="EY3:EY5"/>
    <mergeCell ref="EH3:EH5"/>
    <mergeCell ref="DX3:DX5"/>
    <mergeCell ref="EE3:EE5"/>
    <mergeCell ref="EO3:EO5"/>
    <mergeCell ref="EN3:EN5"/>
    <mergeCell ref="EQ3:EQ5"/>
    <mergeCell ref="EI3:EI5"/>
    <mergeCell ref="DY3:DY5"/>
    <mergeCell ref="EK3:EK5"/>
    <mergeCell ref="EM3:EM5"/>
    <mergeCell ref="EL3:EL5"/>
    <mergeCell ref="EJ3:EJ5"/>
    <mergeCell ref="ET3:ET5"/>
    <mergeCell ref="EK91:EK92"/>
    <mergeCell ref="EM91:EM92"/>
    <mergeCell ref="EL91:EL92"/>
    <mergeCell ref="EF3:EF5"/>
    <mergeCell ref="EF91:EF92"/>
    <mergeCell ref="EJ91:EJ92"/>
    <mergeCell ref="DH3:DH5"/>
    <mergeCell ref="DP3:DP5"/>
    <mergeCell ref="DN3:DN5"/>
    <mergeCell ref="DR3:DR5"/>
    <mergeCell ref="DQ3:DQ5"/>
    <mergeCell ref="DJ3:DJ5"/>
    <mergeCell ref="DK3:DK5"/>
    <mergeCell ref="EA3:EA5"/>
    <mergeCell ref="EB3:EB5"/>
    <mergeCell ref="DW3:DW5"/>
    <mergeCell ref="DO3:DO5"/>
    <mergeCell ref="DK91:DK92"/>
    <mergeCell ref="DL91:DL92"/>
    <mergeCell ref="DM91:DM92"/>
    <mergeCell ref="DH91:DH92"/>
    <mergeCell ref="DJ91:DJ92"/>
    <mergeCell ref="EI91:EI92"/>
    <mergeCell ref="EH91:EH92"/>
    <mergeCell ref="DR91:DR92"/>
    <mergeCell ref="DN91:DN92"/>
    <mergeCell ref="DO91:DO92"/>
    <mergeCell ref="EG3:EG5"/>
    <mergeCell ref="EG91:EG92"/>
    <mergeCell ref="GV3:GV5"/>
    <mergeCell ref="GU3:GU5"/>
    <mergeCell ref="HB3:HB5"/>
    <mergeCell ref="GX3:GX5"/>
    <mergeCell ref="GY3:GY5"/>
    <mergeCell ref="HA3:HA5"/>
    <mergeCell ref="GT3:GT5"/>
    <mergeCell ref="FQ3:FQ5"/>
    <mergeCell ref="FX3:FX5"/>
    <mergeCell ref="GD3:GD5"/>
    <mergeCell ref="FW3:FW5"/>
    <mergeCell ref="FU3:FU5"/>
    <mergeCell ref="FS3:FS5"/>
    <mergeCell ref="FR3:FR5"/>
    <mergeCell ref="GR3:GR5"/>
    <mergeCell ref="GQ3:GQ5"/>
    <mergeCell ref="GG3:GG5"/>
    <mergeCell ref="GO3:GO5"/>
    <mergeCell ref="GF3:GF5"/>
    <mergeCell ref="GN3:GN5"/>
    <mergeCell ref="GB3:GB5"/>
    <mergeCell ref="FV3:FV5"/>
    <mergeCell ref="FT3:FT5"/>
    <mergeCell ref="GJ3:GJ5"/>
    <mergeCell ref="HC3:HC5"/>
    <mergeCell ref="GS3:GS5"/>
    <mergeCell ref="IW3:IW5"/>
    <mergeCell ref="HS3:HS5"/>
    <mergeCell ref="HT3:HT5"/>
    <mergeCell ref="HQ3:HQ5"/>
    <mergeCell ref="HJ3:HJ5"/>
    <mergeCell ref="IC3:IC5"/>
    <mergeCell ref="HD3:HD5"/>
    <mergeCell ref="GW3:GW5"/>
    <mergeCell ref="GZ3:GZ5"/>
    <mergeCell ref="HE3:HE5"/>
    <mergeCell ref="HF3:HF5"/>
    <mergeCell ref="HN3:HN5"/>
    <mergeCell ref="HM3:HM5"/>
    <mergeCell ref="HH3:HH5"/>
    <mergeCell ref="HO3:HO5"/>
    <mergeCell ref="HK3:HK5"/>
    <mergeCell ref="IK3:IK5"/>
    <mergeCell ref="IH3:IH5"/>
    <mergeCell ref="IB3:IB5"/>
    <mergeCell ref="HY3:HY5"/>
    <mergeCell ref="HG3:HG5"/>
    <mergeCell ref="HP3:HP5"/>
    <mergeCell ref="HU3:HU5"/>
    <mergeCell ref="HV3:HV5"/>
    <mergeCell ref="HR3:HR5"/>
    <mergeCell ref="IE3:IE5"/>
    <mergeCell ref="HI3:HI5"/>
    <mergeCell ref="HL3:HL5"/>
    <mergeCell ref="KC3:KC5"/>
    <mergeCell ref="JK3:JK5"/>
    <mergeCell ref="JN3:JN5"/>
    <mergeCell ref="JO3:JO5"/>
    <mergeCell ref="JP3:JP5"/>
    <mergeCell ref="KA3:KA5"/>
    <mergeCell ref="KB3:KB5"/>
    <mergeCell ref="JR3:JR5"/>
    <mergeCell ref="JQ3:JQ5"/>
    <mergeCell ref="JT3:JT5"/>
    <mergeCell ref="JU3:JU5"/>
    <mergeCell ref="JW3:JW5"/>
    <mergeCell ref="JZ3:JZ5"/>
    <mergeCell ref="JV3:JV5"/>
    <mergeCell ref="JX3:JX5"/>
    <mergeCell ref="JY3:JY5"/>
    <mergeCell ref="JL3:JL5"/>
    <mergeCell ref="JM3:JM5"/>
    <mergeCell ref="IY3:IY5"/>
    <mergeCell ref="IN3:IN5"/>
    <mergeCell ref="II3:II5"/>
    <mergeCell ref="IF3:IF5"/>
    <mergeCell ref="IG3:IG5"/>
    <mergeCell ref="HW3:HW5"/>
    <mergeCell ref="IA3:IA5"/>
    <mergeCell ref="HX3:HX5"/>
    <mergeCell ref="HZ3:HZ5"/>
    <mergeCell ref="ID3:ID5"/>
    <mergeCell ref="IQ3:IQ5"/>
    <mergeCell ref="IJ3:IJ5"/>
    <mergeCell ref="IV3:IV5"/>
    <mergeCell ref="IS3:IS5"/>
    <mergeCell ref="IU3:IU5"/>
    <mergeCell ref="IX3:IX5"/>
    <mergeCell ref="IR3:IR5"/>
    <mergeCell ref="IO3:IO5"/>
    <mergeCell ref="IL3:IL5"/>
    <mergeCell ref="IM3:IM5"/>
    <mergeCell ref="IP3:IP5"/>
    <mergeCell ref="IT3:IT5"/>
    <mergeCell ref="JJ3:JJ5"/>
    <mergeCell ref="JS3:JS5"/>
    <mergeCell ref="JH3:JH5"/>
    <mergeCell ref="JG3:JG5"/>
    <mergeCell ref="JA3:JA5"/>
    <mergeCell ref="JB3:JB5"/>
    <mergeCell ref="IZ3:IZ5"/>
    <mergeCell ref="JI3:JI5"/>
    <mergeCell ref="JF3:JF5"/>
    <mergeCell ref="JC3:JC5"/>
    <mergeCell ref="JD3:JD5"/>
    <mergeCell ref="JE3:JE5"/>
    <mergeCell ref="F3:F5"/>
    <mergeCell ref="CT3:CT5"/>
    <mergeCell ref="AX3:AX5"/>
    <mergeCell ref="BY3:BY5"/>
    <mergeCell ref="BU3:BU5"/>
    <mergeCell ref="AV3:AV5"/>
    <mergeCell ref="AW3:AW5"/>
    <mergeCell ref="CC2:CC92"/>
    <mergeCell ref="BZ3:BZ5"/>
    <mergeCell ref="CA3:CB3"/>
    <mergeCell ref="AF92:AM92"/>
    <mergeCell ref="AN91:AN92"/>
    <mergeCell ref="CS91:CS92"/>
    <mergeCell ref="G3:V3"/>
    <mergeCell ref="X3:X5"/>
    <mergeCell ref="AB3:AB5"/>
    <mergeCell ref="BV3:BV5"/>
    <mergeCell ref="CE3:CE5"/>
    <mergeCell ref="BO4:BO5"/>
    <mergeCell ref="CL91:CL92"/>
    <mergeCell ref="BU91:BU92"/>
    <mergeCell ref="CT91:CT92"/>
    <mergeCell ref="U91:U92"/>
    <mergeCell ref="AA3:AA5"/>
    <mergeCell ref="BV92:BZ92"/>
    <mergeCell ref="BR4:BR5"/>
    <mergeCell ref="CA4:CA5"/>
    <mergeCell ref="CB4:CB5"/>
    <mergeCell ref="BB3:BB5"/>
    <mergeCell ref="CE91:CE92"/>
    <mergeCell ref="BX3:BX5"/>
    <mergeCell ref="BD3:BD5"/>
    <mergeCell ref="BG3:BG5"/>
    <mergeCell ref="BM3:BP3"/>
    <mergeCell ref="BM4:BM5"/>
    <mergeCell ref="BN4:BN5"/>
    <mergeCell ref="BP4:BP5"/>
    <mergeCell ref="AU92:BT92"/>
    <mergeCell ref="AY3:AY5"/>
    <mergeCell ref="AZ3:AZ5"/>
    <mergeCell ref="BC3:BC5"/>
    <mergeCell ref="AU3:AU5"/>
    <mergeCell ref="BA3:BA5"/>
    <mergeCell ref="CA92:CB92"/>
    <mergeCell ref="BW3:BW5"/>
    <mergeCell ref="A1:D1"/>
    <mergeCell ref="F2:V2"/>
    <mergeCell ref="AG4:AG5"/>
    <mergeCell ref="P4:P5"/>
    <mergeCell ref="BS4:BS5"/>
    <mergeCell ref="BJ4:BJ5"/>
    <mergeCell ref="D2:D5"/>
    <mergeCell ref="AE4:AE5"/>
    <mergeCell ref="I4:I5"/>
    <mergeCell ref="BQ4:BQ5"/>
    <mergeCell ref="BI4:BI5"/>
    <mergeCell ref="K4:K5"/>
    <mergeCell ref="L4:L5"/>
    <mergeCell ref="M4:M5"/>
    <mergeCell ref="W2:W92"/>
    <mergeCell ref="AE91:AE92"/>
    <mergeCell ref="G92:K92"/>
    <mergeCell ref="L91:L92"/>
    <mergeCell ref="M91:M92"/>
    <mergeCell ref="N91:N92"/>
    <mergeCell ref="Q91:Q92"/>
    <mergeCell ref="AF4:AF5"/>
    <mergeCell ref="AI4:AI5"/>
    <mergeCell ref="AK4:AK5"/>
    <mergeCell ref="Q4:Q5"/>
    <mergeCell ref="N4:N5"/>
    <mergeCell ref="J4:J5"/>
    <mergeCell ref="AT2:AT92"/>
    <mergeCell ref="X92:AD92"/>
    <mergeCell ref="AC3:AC5"/>
    <mergeCell ref="Z3:Z5"/>
    <mergeCell ref="V91:V92"/>
    <mergeCell ref="R91:R92"/>
    <mergeCell ref="O91:O92"/>
    <mergeCell ref="T4:T5"/>
    <mergeCell ref="U4:U5"/>
    <mergeCell ref="V4:V5"/>
    <mergeCell ref="AN4:AN5"/>
    <mergeCell ref="AP4:AP5"/>
    <mergeCell ref="AQ4:AQ5"/>
    <mergeCell ref="AR2:AR5"/>
    <mergeCell ref="AS2:AS5"/>
    <mergeCell ref="Y3:Y5"/>
    <mergeCell ref="AO4:AO5"/>
    <mergeCell ref="AM4:AM5"/>
    <mergeCell ref="AL4:AL5"/>
    <mergeCell ref="C2:C5"/>
    <mergeCell ref="B2:B5"/>
    <mergeCell ref="A2:A5"/>
    <mergeCell ref="E2:E92"/>
    <mergeCell ref="CM91:CM92"/>
    <mergeCell ref="CO91:CO92"/>
    <mergeCell ref="CQ91:CQ92"/>
    <mergeCell ref="CN91:CN92"/>
    <mergeCell ref="F91:F92"/>
    <mergeCell ref="CI3:CI5"/>
    <mergeCell ref="CF3:CF5"/>
    <mergeCell ref="CM3:CM5"/>
    <mergeCell ref="CD3:CD5"/>
    <mergeCell ref="BT4:BT5"/>
    <mergeCell ref="CN3:CN5"/>
    <mergeCell ref="P91:P92"/>
    <mergeCell ref="S91:S92"/>
    <mergeCell ref="T91:T92"/>
    <mergeCell ref="AP91:AP92"/>
    <mergeCell ref="AQ91:AQ92"/>
    <mergeCell ref="AR91:AR92"/>
    <mergeCell ref="AS91:AS92"/>
    <mergeCell ref="O4:O5"/>
    <mergeCell ref="R4:R5"/>
    <mergeCell ref="CD2:DQ2"/>
    <mergeCell ref="KE3:KE5"/>
    <mergeCell ref="KF3:KF5"/>
    <mergeCell ref="X2:AQ2"/>
    <mergeCell ref="AD3:AD5"/>
    <mergeCell ref="AE3:AQ3"/>
    <mergeCell ref="DW2:EE2"/>
    <mergeCell ref="EW3:EW5"/>
    <mergeCell ref="FA3:FA5"/>
    <mergeCell ref="DT3:DT5"/>
    <mergeCell ref="CV3:CV5"/>
    <mergeCell ref="CW3:CW5"/>
    <mergeCell ref="ED3:ED5"/>
    <mergeCell ref="DI3:DI5"/>
    <mergeCell ref="CX3:CX5"/>
    <mergeCell ref="EP3:EP5"/>
    <mergeCell ref="EU3:EU5"/>
    <mergeCell ref="DS3:DS5"/>
    <mergeCell ref="CZ3:CZ5"/>
    <mergeCell ref="ER3:ER5"/>
    <mergeCell ref="AH4:AH5"/>
    <mergeCell ref="AJ4:AJ5"/>
    <mergeCell ref="BQ3:BT3"/>
    <mergeCell ref="KD3:KD5"/>
    <mergeCell ref="DI91:DI92"/>
    <mergeCell ref="DE91:DE92"/>
    <mergeCell ref="DP91:DP92"/>
    <mergeCell ref="DQ91:DQ92"/>
    <mergeCell ref="CG3:CG5"/>
    <mergeCell ref="CO3:CO5"/>
    <mergeCell ref="CJ3:CJ5"/>
    <mergeCell ref="CU3:CU5"/>
    <mergeCell ref="CQ3:CQ5"/>
    <mergeCell ref="CL3:CL5"/>
    <mergeCell ref="CZ91:CZ92"/>
    <mergeCell ref="DA91:DA92"/>
    <mergeCell ref="DB91:DB92"/>
    <mergeCell ref="DA3:DA5"/>
    <mergeCell ref="CH91:CH92"/>
    <mergeCell ref="CI92:CK92"/>
    <mergeCell ref="CY3:CY5"/>
    <mergeCell ref="CW91:CW92"/>
    <mergeCell ref="CX91:CX92"/>
    <mergeCell ref="CY91:CY92"/>
    <mergeCell ref="CU91:CU92"/>
    <mergeCell ref="CV91:CV92"/>
    <mergeCell ref="CK3:CK5"/>
    <mergeCell ref="DE3:DE5"/>
    <mergeCell ref="EZ3:EZ5"/>
    <mergeCell ref="EZ91:EZ92"/>
    <mergeCell ref="J101:K101"/>
    <mergeCell ref="FI3:FI5"/>
    <mergeCell ref="FJ3:FJ5"/>
    <mergeCell ref="FI91:FI92"/>
    <mergeCell ref="FJ91:FJ92"/>
    <mergeCell ref="AF97:AH97"/>
    <mergeCell ref="DS91:DS92"/>
    <mergeCell ref="DT91:DT92"/>
    <mergeCell ref="BK4:BK5"/>
    <mergeCell ref="BL4:BL5"/>
    <mergeCell ref="F94:V94"/>
    <mergeCell ref="AO91:AO92"/>
    <mergeCell ref="BE3:BE5"/>
    <mergeCell ref="BF3:BF5"/>
    <mergeCell ref="BH3:BH5"/>
    <mergeCell ref="BI3:BL3"/>
    <mergeCell ref="G4:G5"/>
    <mergeCell ref="H4:H5"/>
    <mergeCell ref="S4:S5"/>
    <mergeCell ref="DW93:EE93"/>
    <mergeCell ref="DW92:EE92"/>
    <mergeCell ref="DG91:DG92"/>
  </mergeCells>
  <phoneticPr fontId="0" type="noConversion"/>
  <printOptions verticalCentered="1"/>
  <pageMargins left="0" right="0.78740157480314965" top="0.11811023622047245" bottom="0.19685039370078741" header="0.31496062992125984" footer="0.31496062992125984"/>
  <pageSetup paperSize="109" scale="80" fitToWidth="2" orientation="landscape" horizontalDpi="300" verticalDpi="300" r:id="rId1"/>
  <headerFooter scaleWithDoc="0" alignWithMargins="0">
    <oddFooter>&amp;L&amp;D</oddFooter>
  </headerFooter>
  <colBreaks count="1" manualBreakCount="1">
    <brk id="37" max="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9</vt:i4>
      </vt:variant>
    </vt:vector>
  </HeadingPairs>
  <TitlesOfParts>
    <vt:vector size="24" baseType="lpstr">
      <vt:lpstr>Программа</vt:lpstr>
      <vt:lpstr>Материалы ФОРМА</vt:lpstr>
      <vt:lpstr>Транспорт</vt:lpstr>
      <vt:lpstr>Лист1</vt:lpstr>
      <vt:lpstr>Содержание</vt:lpstr>
      <vt:lpstr>ЗЕМЛЕРОЙНАЯ</vt:lpstr>
      <vt:lpstr>Ж.Б. Центролит</vt:lpstr>
      <vt:lpstr>ФРЕЗА</vt:lpstr>
      <vt:lpstr>план</vt:lpstr>
      <vt:lpstr>ЦЕНТРОЛИТ</vt:lpstr>
      <vt:lpstr>ГОДОВОЙ ГРАФИК</vt:lpstr>
      <vt:lpstr>ГОД ПЛАН</vt:lpstr>
      <vt:lpstr>Лист3</vt:lpstr>
      <vt:lpstr>СМР В соп. ценах</vt:lpstr>
      <vt:lpstr>СМР В соп. ценах без СОДЕРЖ</vt:lpstr>
      <vt:lpstr>план!Заголовки_для_печати</vt:lpstr>
      <vt:lpstr>Транспорт!Заголовки_для_печати</vt:lpstr>
      <vt:lpstr>'ГОДОВОЙ ГРАФИК'!Область_печати</vt:lpstr>
      <vt:lpstr>Лист3!Область_печати</vt:lpstr>
      <vt:lpstr>план!Область_печати</vt:lpstr>
      <vt:lpstr>Программа!Область_печати</vt:lpstr>
      <vt:lpstr>Содержание!Область_печати</vt:lpstr>
      <vt:lpstr>Транспорт!Область_печати</vt:lpstr>
      <vt:lpstr>ЦЕНТРОЛИТ!Область_печати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Чубыкало_АП</dc:creator>
  <cp:lastModifiedBy>Сергей Михайлович Белый</cp:lastModifiedBy>
  <cp:lastPrinted>2024-02-27T09:02:49Z</cp:lastPrinted>
  <dcterms:created xsi:type="dcterms:W3CDTF">1996-10-08T23:32:33Z</dcterms:created>
  <dcterms:modified xsi:type="dcterms:W3CDTF">2026-02-04T08:38:04Z</dcterms:modified>
</cp:coreProperties>
</file>